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drawings/drawing6.xml" ContentType="application/vnd.openxmlformats-officedocument.drawing+xml"/>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activeX/activeX260.xml" ContentType="application/vnd.ms-office.activeX+xml"/>
  <Override PartName="/xl/activeX/activeX260.bin" ContentType="application/vnd.ms-office.activeX"/>
  <Override PartName="/xl/activeX/activeX261.xml" ContentType="application/vnd.ms-office.activeX+xml"/>
  <Override PartName="/xl/activeX/activeX261.bin" ContentType="application/vnd.ms-office.activeX"/>
  <Override PartName="/xl/activeX/activeX262.xml" ContentType="application/vnd.ms-office.activeX+xml"/>
  <Override PartName="/xl/activeX/activeX262.bin" ContentType="application/vnd.ms-office.activeX"/>
  <Override PartName="/xl/activeX/activeX263.xml" ContentType="application/vnd.ms-office.activeX+xml"/>
  <Override PartName="/xl/activeX/activeX263.bin" ContentType="application/vnd.ms-office.activeX"/>
  <Override PartName="/xl/activeX/activeX264.xml" ContentType="application/vnd.ms-office.activeX+xml"/>
  <Override PartName="/xl/activeX/activeX264.bin" ContentType="application/vnd.ms-office.activeX"/>
  <Override PartName="/xl/activeX/activeX265.xml" ContentType="application/vnd.ms-office.activeX+xml"/>
  <Override PartName="/xl/activeX/activeX265.bin" ContentType="application/vnd.ms-office.activeX"/>
  <Override PartName="/xl/activeX/activeX266.xml" ContentType="application/vnd.ms-office.activeX+xml"/>
  <Override PartName="/xl/activeX/activeX266.bin" ContentType="application/vnd.ms-office.activeX"/>
  <Override PartName="/xl/activeX/activeX267.xml" ContentType="application/vnd.ms-office.activeX+xml"/>
  <Override PartName="/xl/activeX/activeX267.bin" ContentType="application/vnd.ms-office.activeX"/>
  <Override PartName="/xl/activeX/activeX268.xml" ContentType="application/vnd.ms-office.activeX+xml"/>
  <Override PartName="/xl/activeX/activeX268.bin" ContentType="application/vnd.ms-office.activeX"/>
  <Override PartName="/xl/activeX/activeX269.xml" ContentType="application/vnd.ms-office.activeX+xml"/>
  <Override PartName="/xl/activeX/activeX269.bin" ContentType="application/vnd.ms-office.activeX"/>
  <Override PartName="/xl/activeX/activeX270.xml" ContentType="application/vnd.ms-office.activeX+xml"/>
  <Override PartName="/xl/activeX/activeX270.bin" ContentType="application/vnd.ms-office.activeX"/>
  <Override PartName="/xl/activeX/activeX271.xml" ContentType="application/vnd.ms-office.activeX+xml"/>
  <Override PartName="/xl/activeX/activeX271.bin" ContentType="application/vnd.ms-office.activeX"/>
  <Override PartName="/xl/activeX/activeX272.xml" ContentType="application/vnd.ms-office.activeX+xml"/>
  <Override PartName="/xl/activeX/activeX272.bin" ContentType="application/vnd.ms-office.activeX"/>
  <Override PartName="/xl/activeX/activeX273.xml" ContentType="application/vnd.ms-office.activeX+xml"/>
  <Override PartName="/xl/activeX/activeX273.bin" ContentType="application/vnd.ms-office.activeX"/>
  <Override PartName="/xl/activeX/activeX274.xml" ContentType="application/vnd.ms-office.activeX+xml"/>
  <Override PartName="/xl/activeX/activeX274.bin" ContentType="application/vnd.ms-office.activeX"/>
  <Override PartName="/xl/activeX/activeX275.xml" ContentType="application/vnd.ms-office.activeX+xml"/>
  <Override PartName="/xl/activeX/activeX275.bin" ContentType="application/vnd.ms-office.activeX"/>
  <Override PartName="/xl/activeX/activeX276.xml" ContentType="application/vnd.ms-office.activeX+xml"/>
  <Override PartName="/xl/activeX/activeX276.bin" ContentType="application/vnd.ms-office.activeX"/>
  <Override PartName="/xl/activeX/activeX277.xml" ContentType="application/vnd.ms-office.activeX+xml"/>
  <Override PartName="/xl/activeX/activeX277.bin" ContentType="application/vnd.ms-office.activeX"/>
  <Override PartName="/xl/activeX/activeX278.xml" ContentType="application/vnd.ms-office.activeX+xml"/>
  <Override PartName="/xl/activeX/activeX278.bin" ContentType="application/vnd.ms-office.activeX"/>
  <Override PartName="/xl/activeX/activeX279.xml" ContentType="application/vnd.ms-office.activeX+xml"/>
  <Override PartName="/xl/activeX/activeX279.bin" ContentType="application/vnd.ms-office.activeX"/>
  <Override PartName="/xl/activeX/activeX280.xml" ContentType="application/vnd.ms-office.activeX+xml"/>
  <Override PartName="/xl/activeX/activeX280.bin" ContentType="application/vnd.ms-office.activeX"/>
  <Override PartName="/xl/activeX/activeX281.xml" ContentType="application/vnd.ms-office.activeX+xml"/>
  <Override PartName="/xl/activeX/activeX281.bin" ContentType="application/vnd.ms-office.activeX"/>
  <Override PartName="/xl/activeX/activeX282.xml" ContentType="application/vnd.ms-office.activeX+xml"/>
  <Override PartName="/xl/activeX/activeX282.bin" ContentType="application/vnd.ms-office.activeX"/>
  <Override PartName="/xl/activeX/activeX283.xml" ContentType="application/vnd.ms-office.activeX+xml"/>
  <Override PartName="/xl/activeX/activeX283.bin" ContentType="application/vnd.ms-office.activeX"/>
  <Override PartName="/xl/activeX/activeX284.xml" ContentType="application/vnd.ms-office.activeX+xml"/>
  <Override PartName="/xl/activeX/activeX284.bin" ContentType="application/vnd.ms-office.activeX"/>
  <Override PartName="/xl/activeX/activeX285.xml" ContentType="application/vnd.ms-office.activeX+xml"/>
  <Override PartName="/xl/activeX/activeX285.bin" ContentType="application/vnd.ms-office.activeX"/>
  <Override PartName="/xl/activeX/activeX286.xml" ContentType="application/vnd.ms-office.activeX+xml"/>
  <Override PartName="/xl/activeX/activeX286.bin" ContentType="application/vnd.ms-office.activeX"/>
  <Override PartName="/xl/activeX/activeX287.xml" ContentType="application/vnd.ms-office.activeX+xml"/>
  <Override PartName="/xl/activeX/activeX287.bin" ContentType="application/vnd.ms-office.activeX"/>
  <Override PartName="/xl/activeX/activeX288.xml" ContentType="application/vnd.ms-office.activeX+xml"/>
  <Override PartName="/xl/activeX/activeX288.bin" ContentType="application/vnd.ms-office.activeX"/>
  <Override PartName="/xl/activeX/activeX289.xml" ContentType="application/vnd.ms-office.activeX+xml"/>
  <Override PartName="/xl/activeX/activeX289.bin" ContentType="application/vnd.ms-office.activeX"/>
  <Override PartName="/xl/activeX/activeX290.xml" ContentType="application/vnd.ms-office.activeX+xml"/>
  <Override PartName="/xl/activeX/activeX290.bin" ContentType="application/vnd.ms-office.activeX"/>
  <Override PartName="/xl/activeX/activeX291.xml" ContentType="application/vnd.ms-office.activeX+xml"/>
  <Override PartName="/xl/activeX/activeX291.bin" ContentType="application/vnd.ms-office.activeX"/>
  <Override PartName="/xl/activeX/activeX292.xml" ContentType="application/vnd.ms-office.activeX+xml"/>
  <Override PartName="/xl/activeX/activeX292.bin" ContentType="application/vnd.ms-office.activeX"/>
  <Override PartName="/xl/activeX/activeX293.xml" ContentType="application/vnd.ms-office.activeX+xml"/>
  <Override PartName="/xl/activeX/activeX293.bin" ContentType="application/vnd.ms-office.activeX"/>
  <Override PartName="/xl/activeX/activeX294.xml" ContentType="application/vnd.ms-office.activeX+xml"/>
  <Override PartName="/xl/activeX/activeX294.bin" ContentType="application/vnd.ms-office.activeX"/>
  <Override PartName="/xl/activeX/activeX295.xml" ContentType="application/vnd.ms-office.activeX+xml"/>
  <Override PartName="/xl/activeX/activeX295.bin" ContentType="application/vnd.ms-office.activeX"/>
  <Override PartName="/xl/activeX/activeX296.xml" ContentType="application/vnd.ms-office.activeX+xml"/>
  <Override PartName="/xl/activeX/activeX296.bin" ContentType="application/vnd.ms-office.activeX"/>
  <Override PartName="/xl/activeX/activeX297.xml" ContentType="application/vnd.ms-office.activeX+xml"/>
  <Override PartName="/xl/activeX/activeX297.bin" ContentType="application/vnd.ms-office.activeX"/>
  <Override PartName="/xl/activeX/activeX298.xml" ContentType="application/vnd.ms-office.activeX+xml"/>
  <Override PartName="/xl/activeX/activeX298.bin" ContentType="application/vnd.ms-office.activeX"/>
  <Override PartName="/xl/activeX/activeX299.xml" ContentType="application/vnd.ms-office.activeX+xml"/>
  <Override PartName="/xl/activeX/activeX299.bin" ContentType="application/vnd.ms-office.activeX"/>
  <Override PartName="/xl/activeX/activeX300.xml" ContentType="application/vnd.ms-office.activeX+xml"/>
  <Override PartName="/xl/activeX/activeX300.bin" ContentType="application/vnd.ms-office.activeX"/>
  <Override PartName="/xl/activeX/activeX301.xml" ContentType="application/vnd.ms-office.activeX+xml"/>
  <Override PartName="/xl/activeX/activeX301.bin" ContentType="application/vnd.ms-office.activeX"/>
  <Override PartName="/xl/activeX/activeX302.xml" ContentType="application/vnd.ms-office.activeX+xml"/>
  <Override PartName="/xl/activeX/activeX302.bin" ContentType="application/vnd.ms-office.activeX"/>
  <Override PartName="/xl/activeX/activeX303.xml" ContentType="application/vnd.ms-office.activeX+xml"/>
  <Override PartName="/xl/activeX/activeX303.bin" ContentType="application/vnd.ms-office.activeX"/>
  <Override PartName="/xl/activeX/activeX304.xml" ContentType="application/vnd.ms-office.activeX+xml"/>
  <Override PartName="/xl/activeX/activeX304.bin" ContentType="application/vnd.ms-office.activeX"/>
  <Override PartName="/xl/activeX/activeX305.xml" ContentType="application/vnd.ms-office.activeX+xml"/>
  <Override PartName="/xl/activeX/activeX305.bin" ContentType="application/vnd.ms-office.activeX"/>
  <Override PartName="/xl/activeX/activeX306.xml" ContentType="application/vnd.ms-office.activeX+xml"/>
  <Override PartName="/xl/activeX/activeX306.bin" ContentType="application/vnd.ms-office.activeX"/>
  <Override PartName="/xl/activeX/activeX307.xml" ContentType="application/vnd.ms-office.activeX+xml"/>
  <Override PartName="/xl/activeX/activeX307.bin" ContentType="application/vnd.ms-office.activeX"/>
  <Override PartName="/xl/activeX/activeX308.xml" ContentType="application/vnd.ms-office.activeX+xml"/>
  <Override PartName="/xl/activeX/activeX308.bin" ContentType="application/vnd.ms-office.activeX"/>
  <Override PartName="/xl/activeX/activeX309.xml" ContentType="application/vnd.ms-office.activeX+xml"/>
  <Override PartName="/xl/activeX/activeX309.bin" ContentType="application/vnd.ms-office.activeX"/>
  <Override PartName="/xl/activeX/activeX310.xml" ContentType="application/vnd.ms-office.activeX+xml"/>
  <Override PartName="/xl/activeX/activeX310.bin" ContentType="application/vnd.ms-office.activeX"/>
  <Override PartName="/xl/activeX/activeX311.xml" ContentType="application/vnd.ms-office.activeX+xml"/>
  <Override PartName="/xl/activeX/activeX311.bin" ContentType="application/vnd.ms-office.activeX"/>
  <Override PartName="/xl/activeX/activeX312.xml" ContentType="application/vnd.ms-office.activeX+xml"/>
  <Override PartName="/xl/activeX/activeX312.bin" ContentType="application/vnd.ms-office.activeX"/>
  <Override PartName="/xl/activeX/activeX313.xml" ContentType="application/vnd.ms-office.activeX+xml"/>
  <Override PartName="/xl/activeX/activeX313.bin" ContentType="application/vnd.ms-office.activeX"/>
  <Override PartName="/xl/activeX/activeX314.xml" ContentType="application/vnd.ms-office.activeX+xml"/>
  <Override PartName="/xl/activeX/activeX314.bin" ContentType="application/vnd.ms-office.activeX"/>
  <Override PartName="/xl/activeX/activeX315.xml" ContentType="application/vnd.ms-office.activeX+xml"/>
  <Override PartName="/xl/activeX/activeX315.bin" ContentType="application/vnd.ms-office.activeX"/>
  <Override PartName="/xl/activeX/activeX316.xml" ContentType="application/vnd.ms-office.activeX+xml"/>
  <Override PartName="/xl/activeX/activeX316.bin" ContentType="application/vnd.ms-office.activeX"/>
  <Override PartName="/xl/activeX/activeX317.xml" ContentType="application/vnd.ms-office.activeX+xml"/>
  <Override PartName="/xl/activeX/activeX317.bin" ContentType="application/vnd.ms-office.activeX"/>
  <Override PartName="/xl/activeX/activeX318.xml" ContentType="application/vnd.ms-office.activeX+xml"/>
  <Override PartName="/xl/activeX/activeX318.bin" ContentType="application/vnd.ms-office.activeX"/>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1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codeName="{4470D2CD-2249-CD33-4A35-6F278624656F}"/>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32195ACB-FEF7-4CD9-BD77-42CEFD8F9561}" xr6:coauthVersionLast="45" xr6:coauthVersionMax="45" xr10:uidLastSave="{00000000-0000-0000-0000-000000000000}"/>
  <bookViews>
    <workbookView xWindow="-120" yWindow="-120" windowWidth="20730" windowHeight="11160" tabRatio="817" xr2:uid="{00000000-000D-0000-FFFF-FFFF00000000}"/>
  </bookViews>
  <sheets>
    <sheet name="Inicio" sheetId="4" r:id="rId1"/>
    <sheet name="Instrucciones" sheetId="27" r:id="rId2"/>
    <sheet name="Ejemplo" sheetId="28" r:id="rId3"/>
    <sheet name="Datos Generales" sheetId="1" r:id="rId4"/>
    <sheet name="Referencias" sheetId="5" state="veryHidden" r:id="rId5"/>
    <sheet name="ReferenciasP" sheetId="19" state="veryHidden" r:id="rId6"/>
    <sheet name="Cálculos" sheetId="6" state="veryHidden" r:id="rId7"/>
    <sheet name="Datos Recicladores" sheetId="2" r:id="rId8"/>
    <sheet name="Datos Prestador" sheetId="20" r:id="rId9"/>
    <sheet name="C.Recicladores" sheetId="7" state="veryHidden" r:id="rId10"/>
    <sheet name="C.RecicladoresRef" sheetId="23" state="veryHidden" r:id="rId11"/>
    <sheet name="C.Prestador" sheetId="21" state="veryHidden" r:id="rId12"/>
    <sheet name="C.PrestadorRef" sheetId="24" state="veryHidden" r:id="rId13"/>
    <sheet name="Resultados Oc" sheetId="11" state="veryHidden" r:id="rId14"/>
    <sheet name="Resultados OcRef" sheetId="25" state="veryHidden" r:id="rId15"/>
    <sheet name="Comparación Ref." sheetId="22" state="veryHidden" r:id="rId16"/>
    <sheet name="Resultados" sheetId="12" r:id="rId17"/>
    <sheet name="Res. Escenario" sheetId="13" r:id="rId18"/>
    <sheet name="Comparación Ref" sheetId="26" r:id="rId19"/>
  </sheets>
  <externalReferences>
    <externalReference r:id="rId20"/>
  </externalReferences>
  <definedNames>
    <definedName name="_xlnm.Print_Area" localSheetId="2">Ejemplo!$A$1:$AM$865</definedName>
    <definedName name="_xlnm.Print_Area" localSheetId="1">Instrucciones!$A$1:$BH$436</definedName>
    <definedName name="Cantidad" localSheetId="10">'C.RecicladoresRef'!$C$100</definedName>
    <definedName name="Cantidad">'C.Recicladores'!$C$100</definedName>
    <definedName name="ESCENARIO1">'Comparación Ref.'!$I$2:$N$14</definedName>
    <definedName name="ESCENARIO1GRAF">IF('Resultados Oc'!$B$94,ESCENARIO1,VACIO1)</definedName>
    <definedName name="ESCENARIO2">'Comparación Ref.'!$B$17:$G$29</definedName>
    <definedName name="ESCENARIO2GRAF">IF('Resultados Oc'!$B$95,ESCENARIO2,VACIO2)</definedName>
    <definedName name="ESCENARIO3">'Comparación Ref.'!$I$17:$N$29</definedName>
    <definedName name="ESCENARIO3GRAF">IF('Resultados Oc'!$B$96,ESCENARIO3,VACIO3)</definedName>
    <definedName name="Establecer_tamaño__ton_año" localSheetId="10">'C.RecicladoresRef'!$B$99</definedName>
    <definedName name="Establecer_tamaño__ton_año">'C.Recicladores'!$B$99</definedName>
    <definedName name="Indicar_cantiad_de_centros_de_acopio__ton_año" localSheetId="10">'C.RecicladoresRef'!$B$100</definedName>
    <definedName name="Indicar_cantiad_de_centros_de_acopio__ton_año">'C.Recicladores'!$B$100</definedName>
    <definedName name="LBASE">'Comparación Ref.'!$B$2:$G$14</definedName>
    <definedName name="LINEABASE">IF('Resultados Oc'!$B$93,LBASE,VACIO)</definedName>
    <definedName name="opcion1">Cálculos!$C$7</definedName>
    <definedName name="opcion2">Cálculos!$C$8</definedName>
    <definedName name="opcion3">Cálculos!$C$9</definedName>
    <definedName name="ptmes" localSheetId="12">'C.PrestadorRef'!$C$110</definedName>
    <definedName name="ptmes">'C.Prestador'!$C$110</definedName>
    <definedName name="Tamaño" localSheetId="10">'C.RecicladoresRef'!$C$99</definedName>
    <definedName name="Tamaño">'C.Recicladores'!$C$99</definedName>
    <definedName name="Tamaño2" localSheetId="12">'C.PrestadorRef'!$C$99</definedName>
    <definedName name="Tamaño2">'C.Prestador'!$C$99</definedName>
    <definedName name="tasacomp">Cálculos!$C$14</definedName>
    <definedName name="tasaopc">Cálculos!$C$13</definedName>
    <definedName name="tasarec1">'Datos Generales'!$H$36</definedName>
    <definedName name="tasarec2">'Datos Generales'!$K$36</definedName>
    <definedName name="tasarecind">'Datos Generales'!$F$49</definedName>
    <definedName name="tasarecref">'Datos Generales'!$I$49</definedName>
    <definedName name="thrcen" localSheetId="10">'C.RecicladoresRef'!$C$118</definedName>
    <definedName name="thrcen">'C.Recicladores'!$C$118</definedName>
    <definedName name="tmescen" localSheetId="10">'C.RecicladoresRef'!$C$117</definedName>
    <definedName name="tmescen">'C.Recicladores'!$C$117</definedName>
    <definedName name="tonhora" localSheetId="10">'C.RecicladoresRef'!$C$111</definedName>
    <definedName name="tonhora">'C.Recicladores'!$C$111</definedName>
    <definedName name="tonmes" localSheetId="10">'C.RecicladoresRef'!$C$110</definedName>
    <definedName name="tonmes">'C.Recicladores'!$C$110</definedName>
    <definedName name="VACIO">'Comparación Ref.'!$P$1</definedName>
    <definedName name="VACIO1">'Comparación Ref.'!$P$2</definedName>
    <definedName name="VACIO2">'Comparación Ref.'!$P$3</definedName>
    <definedName name="VACIO3">'Comparación Ref.'!$P$4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0" i="23" l="1"/>
  <c r="C211" i="23"/>
  <c r="C209" i="23"/>
  <c r="E114" i="11" l="1"/>
  <c r="E107" i="11"/>
  <c r="D107" i="11"/>
  <c r="C107" i="11"/>
  <c r="B114" i="11"/>
  <c r="B107" i="11"/>
  <c r="U668" i="28" l="1"/>
  <c r="R467" i="28" l="1"/>
  <c r="U681" i="28" l="1"/>
  <c r="U683" i="28" s="1"/>
  <c r="U669" i="28"/>
  <c r="U647" i="28"/>
  <c r="U310" i="28"/>
  <c r="U311" i="28" s="1"/>
  <c r="U312" i="28" s="1"/>
  <c r="X284" i="28"/>
  <c r="X285" i="28" s="1"/>
  <c r="X286" i="28" s="1"/>
  <c r="X274" i="28"/>
  <c r="X275" i="28" s="1"/>
  <c r="U684" i="28" l="1"/>
  <c r="P264" i="28" l="1"/>
  <c r="P266" i="28" s="1"/>
  <c r="O165" i="28"/>
  <c r="S165" i="28" s="1"/>
  <c r="S166" i="28"/>
  <c r="S167" i="28"/>
  <c r="S168" i="28"/>
  <c r="S169" i="28"/>
  <c r="S170" i="28"/>
  <c r="S164" i="28"/>
  <c r="P214" i="28"/>
  <c r="S171" i="28" l="1"/>
  <c r="N443" i="28"/>
  <c r="R133" i="28" l="1"/>
  <c r="P122" i="28"/>
  <c r="P123" i="28" s="1"/>
  <c r="S599" i="28"/>
  <c r="S598" i="28"/>
  <c r="S600" i="28"/>
  <c r="S597" i="28"/>
  <c r="S601" i="28" l="1"/>
  <c r="S602" i="28" s="1"/>
  <c r="S603" i="28" s="1"/>
  <c r="S569" i="28"/>
  <c r="S568" i="28"/>
  <c r="P561" i="28"/>
  <c r="P562" i="28" s="1"/>
  <c r="S571" i="28" l="1"/>
  <c r="S572" i="28" s="1"/>
  <c r="S573" i="28" s="1"/>
  <c r="AF510" i="28"/>
  <c r="AF509" i="28"/>
  <c r="AF508" i="28"/>
  <c r="AF507" i="28"/>
  <c r="AF506" i="28"/>
  <c r="AF505" i="28"/>
  <c r="P506" i="28"/>
  <c r="P507" i="28"/>
  <c r="P508" i="28"/>
  <c r="P509" i="28"/>
  <c r="P510" i="28"/>
  <c r="P505" i="28"/>
  <c r="P511" i="28" l="1"/>
  <c r="P512" i="28" s="1"/>
  <c r="AF511" i="28"/>
  <c r="AF512" i="28" s="1"/>
  <c r="M210" i="20" l="1"/>
  <c r="D124" i="19"/>
  <c r="D124" i="5"/>
  <c r="C124" i="19"/>
  <c r="E121" i="5"/>
  <c r="M138" i="5" l="1"/>
  <c r="M141" i="5"/>
  <c r="M149" i="5"/>
  <c r="M150" i="5"/>
  <c r="M151" i="5"/>
  <c r="M152" i="5"/>
  <c r="M155" i="5"/>
  <c r="M158" i="5"/>
  <c r="M163" i="5"/>
  <c r="M137" i="5"/>
  <c r="P164" i="19" l="1"/>
  <c r="K164" i="19"/>
  <c r="F164" i="19"/>
  <c r="G164" i="19" s="1"/>
  <c r="E164" i="19"/>
  <c r="P163" i="19"/>
  <c r="Q163" i="19" s="1"/>
  <c r="O163" i="19"/>
  <c r="I163" i="19"/>
  <c r="K163" i="19" s="1"/>
  <c r="L163" i="19" s="1"/>
  <c r="D163" i="19"/>
  <c r="F163" i="19" s="1"/>
  <c r="G163" i="19" s="1"/>
  <c r="P162" i="19"/>
  <c r="Q162" i="19" s="1"/>
  <c r="O162" i="19"/>
  <c r="I162" i="19"/>
  <c r="K162" i="19" s="1"/>
  <c r="D162" i="19"/>
  <c r="F162" i="19" s="1"/>
  <c r="P161" i="19"/>
  <c r="I161" i="19"/>
  <c r="K161" i="19" s="1"/>
  <c r="D161" i="19"/>
  <c r="F161" i="19" s="1"/>
  <c r="G161" i="19" s="1"/>
  <c r="P160" i="19"/>
  <c r="I160" i="19"/>
  <c r="K160" i="19" s="1"/>
  <c r="D160" i="19"/>
  <c r="F160" i="19" s="1"/>
  <c r="P159" i="19"/>
  <c r="I159" i="19"/>
  <c r="K159" i="19" s="1"/>
  <c r="D159" i="19"/>
  <c r="F159" i="19" s="1"/>
  <c r="P158" i="19"/>
  <c r="Q158" i="19" s="1"/>
  <c r="O158" i="19"/>
  <c r="J158" i="19"/>
  <c r="I158" i="19"/>
  <c r="K158" i="19" s="1"/>
  <c r="L158" i="19" s="1"/>
  <c r="D158" i="19"/>
  <c r="F158" i="19" s="1"/>
  <c r="G158" i="19" s="1"/>
  <c r="P157" i="19"/>
  <c r="I157" i="19"/>
  <c r="K157" i="19" s="1"/>
  <c r="D157" i="19"/>
  <c r="F157" i="19" s="1"/>
  <c r="P156" i="19"/>
  <c r="Q156" i="19" s="1"/>
  <c r="O156" i="19"/>
  <c r="I156" i="19"/>
  <c r="K156" i="19" s="1"/>
  <c r="D156" i="19"/>
  <c r="F156" i="19" s="1"/>
  <c r="P155" i="19"/>
  <c r="I155" i="19"/>
  <c r="K155" i="19" s="1"/>
  <c r="L155" i="19" s="1"/>
  <c r="D155" i="19"/>
  <c r="F155" i="19" s="1"/>
  <c r="G155" i="19" s="1"/>
  <c r="P154" i="19"/>
  <c r="I154" i="19"/>
  <c r="K154" i="19" s="1"/>
  <c r="D154" i="19"/>
  <c r="F154" i="19" s="1"/>
  <c r="G154" i="19" s="1"/>
  <c r="P153" i="19"/>
  <c r="Q153" i="19" s="1"/>
  <c r="O153" i="19"/>
  <c r="I153" i="19"/>
  <c r="K153" i="19" s="1"/>
  <c r="D153" i="19"/>
  <c r="F153" i="19" s="1"/>
  <c r="P152" i="19"/>
  <c r="I152" i="19"/>
  <c r="K152" i="19" s="1"/>
  <c r="D152" i="19"/>
  <c r="F152" i="19" s="1"/>
  <c r="G152" i="19" s="1"/>
  <c r="P151" i="19"/>
  <c r="I151" i="19"/>
  <c r="K151" i="19" s="1"/>
  <c r="D151" i="19"/>
  <c r="F151" i="19" s="1"/>
  <c r="G151" i="19" s="1"/>
  <c r="P150" i="19"/>
  <c r="I150" i="19"/>
  <c r="K150" i="19" s="1"/>
  <c r="D150" i="19"/>
  <c r="E150" i="19" s="1"/>
  <c r="P149" i="19"/>
  <c r="I149" i="19"/>
  <c r="K149" i="19" s="1"/>
  <c r="D149" i="19"/>
  <c r="F149" i="19" s="1"/>
  <c r="G149" i="19" s="1"/>
  <c r="P148" i="19"/>
  <c r="I148" i="19"/>
  <c r="K148" i="19" s="1"/>
  <c r="D148" i="19"/>
  <c r="F148" i="19" s="1"/>
  <c r="G148" i="19" s="1"/>
  <c r="P147" i="19"/>
  <c r="I147" i="19"/>
  <c r="K147" i="19" s="1"/>
  <c r="D147" i="19"/>
  <c r="F147" i="19" s="1"/>
  <c r="G147" i="19" s="1"/>
  <c r="P146" i="19"/>
  <c r="I146" i="19"/>
  <c r="K146" i="19" s="1"/>
  <c r="D146" i="19"/>
  <c r="F146" i="19" s="1"/>
  <c r="P145" i="19"/>
  <c r="I145" i="19"/>
  <c r="K145" i="19" s="1"/>
  <c r="D145" i="19"/>
  <c r="F145" i="19" s="1"/>
  <c r="P144" i="19"/>
  <c r="I144" i="19"/>
  <c r="K144" i="19" s="1"/>
  <c r="E144" i="19"/>
  <c r="D144" i="19"/>
  <c r="F144" i="19" s="1"/>
  <c r="G144" i="19" s="1"/>
  <c r="P143" i="19"/>
  <c r="I143" i="19"/>
  <c r="K143" i="19" s="1"/>
  <c r="D143" i="19"/>
  <c r="F143" i="19" s="1"/>
  <c r="P142" i="19"/>
  <c r="Q142" i="19" s="1"/>
  <c r="O142" i="19"/>
  <c r="I142" i="19"/>
  <c r="K142" i="19" s="1"/>
  <c r="D142" i="19"/>
  <c r="F142" i="19" s="1"/>
  <c r="G142" i="19" s="1"/>
  <c r="P141" i="19"/>
  <c r="Q141" i="19" s="1"/>
  <c r="O141" i="19"/>
  <c r="I141" i="19"/>
  <c r="J141" i="19" s="1"/>
  <c r="D141" i="19"/>
  <c r="E141" i="19" s="1"/>
  <c r="P140" i="19"/>
  <c r="I140" i="19"/>
  <c r="K140" i="19" s="1"/>
  <c r="D140" i="19"/>
  <c r="F140" i="19" s="1"/>
  <c r="P139" i="19"/>
  <c r="I139" i="19"/>
  <c r="K139" i="19" s="1"/>
  <c r="D139" i="19"/>
  <c r="F139" i="19" s="1"/>
  <c r="P137" i="19"/>
  <c r="Q137" i="19" s="1"/>
  <c r="O137" i="19"/>
  <c r="I137" i="19"/>
  <c r="K137" i="19" s="1"/>
  <c r="L137" i="19" s="1"/>
  <c r="D137" i="19"/>
  <c r="E137" i="19" s="1"/>
  <c r="D121" i="19"/>
  <c r="F137" i="19" l="1"/>
  <c r="G137" i="19" s="1"/>
  <c r="F150" i="19"/>
  <c r="G150" i="19" s="1"/>
  <c r="E151" i="19"/>
  <c r="J155" i="19"/>
  <c r="K141" i="19"/>
  <c r="L141" i="19" s="1"/>
  <c r="E147" i="19"/>
  <c r="E149" i="19"/>
  <c r="E154" i="19"/>
  <c r="E158" i="19"/>
  <c r="E161" i="19"/>
  <c r="J163" i="19"/>
  <c r="J137" i="19"/>
  <c r="E155" i="19"/>
  <c r="F141" i="19"/>
  <c r="G141" i="19" s="1"/>
  <c r="E163" i="19"/>
  <c r="E142" i="19"/>
  <c r="E148" i="19"/>
  <c r="E152" i="19"/>
  <c r="D121" i="5" l="1"/>
  <c r="M22" i="7" l="1"/>
  <c r="M20" i="7"/>
  <c r="M21" i="7"/>
  <c r="M19" i="7"/>
  <c r="M17" i="7"/>
  <c r="M18" i="7"/>
  <c r="M16" i="7"/>
  <c r="M22" i="21"/>
  <c r="M20" i="21"/>
  <c r="M21" i="21"/>
  <c r="M19" i="21"/>
  <c r="M17" i="21"/>
  <c r="M18" i="21"/>
  <c r="M16" i="21"/>
  <c r="Q154" i="21" l="1"/>
  <c r="P154" i="21"/>
  <c r="R154" i="7"/>
  <c r="Q154" i="7"/>
  <c r="K155" i="2"/>
  <c r="K154" i="2"/>
  <c r="M127" i="24" l="1"/>
  <c r="N127" i="24"/>
  <c r="O127" i="24"/>
  <c r="Q127" i="24"/>
  <c r="Q127" i="21"/>
  <c r="S127" i="7"/>
  <c r="M127" i="23"/>
  <c r="N127" i="23"/>
  <c r="O127" i="23"/>
  <c r="S127" i="23" s="1"/>
  <c r="E127" i="7"/>
  <c r="E127" i="23"/>
  <c r="E127" i="24"/>
  <c r="E127" i="21"/>
  <c r="P164" i="5"/>
  <c r="M211" i="2" s="1"/>
  <c r="G127" i="7" s="1"/>
  <c r="K164" i="5"/>
  <c r="F164" i="5"/>
  <c r="G164" i="5" s="1"/>
  <c r="H80" i="20"/>
  <c r="H81" i="2"/>
  <c r="H30" i="2"/>
  <c r="H39" i="20"/>
  <c r="G127" i="24" l="1"/>
  <c r="G127" i="21"/>
  <c r="G127" i="23"/>
  <c r="E164" i="5"/>
  <c r="H42" i="11"/>
  <c r="E42" i="11"/>
  <c r="P27" i="20"/>
  <c r="P27" i="2" l="1"/>
  <c r="I48" i="12"/>
  <c r="O48" i="12" s="1"/>
  <c r="I49" i="12"/>
  <c r="O49" i="12" s="1"/>
  <c r="O39" i="12"/>
  <c r="O38" i="12"/>
  <c r="L39" i="12"/>
  <c r="L38" i="12"/>
  <c r="I39" i="12"/>
  <c r="I38" i="12"/>
  <c r="F38" i="12"/>
  <c r="B42" i="11" l="1"/>
  <c r="B41" i="11"/>
  <c r="E41" i="11"/>
  <c r="C105" i="23"/>
  <c r="C104" i="23"/>
  <c r="C97" i="7"/>
  <c r="C100" i="23" s="1"/>
  <c r="C96" i="7"/>
  <c r="C99" i="23" s="1"/>
  <c r="C38" i="23"/>
  <c r="C39" i="23"/>
  <c r="C37" i="23"/>
  <c r="C105" i="24"/>
  <c r="C104" i="24"/>
  <c r="C97" i="21"/>
  <c r="C100" i="24" s="1"/>
  <c r="C96" i="21"/>
  <c r="C38" i="24"/>
  <c r="C39" i="24"/>
  <c r="C37" i="24"/>
  <c r="N162" i="24"/>
  <c r="O162" i="24"/>
  <c r="N163" i="24"/>
  <c r="O163" i="24"/>
  <c r="N164" i="24"/>
  <c r="O164" i="24"/>
  <c r="M163" i="24"/>
  <c r="M164" i="24"/>
  <c r="M162" i="24"/>
  <c r="N153" i="24"/>
  <c r="O153" i="24"/>
  <c r="N154" i="24"/>
  <c r="Q154" i="24" s="1"/>
  <c r="O154" i="24"/>
  <c r="M154" i="24"/>
  <c r="P154" i="24" s="1"/>
  <c r="M153" i="24"/>
  <c r="N140" i="24"/>
  <c r="O140" i="24"/>
  <c r="N141" i="24"/>
  <c r="O141" i="24"/>
  <c r="N142" i="24"/>
  <c r="O142" i="24"/>
  <c r="M141" i="24"/>
  <c r="M142" i="24"/>
  <c r="M140" i="24"/>
  <c r="M102" i="24"/>
  <c r="N102" i="24"/>
  <c r="O102" i="24"/>
  <c r="M103" i="24"/>
  <c r="N103" i="24"/>
  <c r="O103" i="24"/>
  <c r="M105" i="24"/>
  <c r="N105" i="24"/>
  <c r="O105" i="24"/>
  <c r="M106" i="24"/>
  <c r="N106" i="24"/>
  <c r="O106" i="24"/>
  <c r="M107" i="24"/>
  <c r="N107" i="24"/>
  <c r="O107" i="24"/>
  <c r="M108" i="24"/>
  <c r="N108" i="24"/>
  <c r="O108" i="24"/>
  <c r="M109" i="24"/>
  <c r="N109" i="24"/>
  <c r="O109" i="24"/>
  <c r="M110" i="24"/>
  <c r="N110" i="24"/>
  <c r="O110" i="24"/>
  <c r="M111" i="24"/>
  <c r="N111" i="24"/>
  <c r="O111" i="24"/>
  <c r="M112" i="24"/>
  <c r="N112" i="24"/>
  <c r="O112" i="24"/>
  <c r="M113" i="24"/>
  <c r="N113" i="24"/>
  <c r="O113" i="24"/>
  <c r="M114" i="24"/>
  <c r="N114" i="24"/>
  <c r="O114" i="24"/>
  <c r="M115" i="24"/>
  <c r="N115" i="24"/>
  <c r="O115" i="24"/>
  <c r="M116" i="24"/>
  <c r="N116" i="24"/>
  <c r="O116" i="24"/>
  <c r="M117" i="24"/>
  <c r="N117" i="24"/>
  <c r="O117" i="24"/>
  <c r="M118" i="24"/>
  <c r="N118" i="24"/>
  <c r="O118" i="24"/>
  <c r="M119" i="24"/>
  <c r="N119" i="24"/>
  <c r="O119" i="24"/>
  <c r="M120" i="24"/>
  <c r="N120" i="24"/>
  <c r="O120" i="24"/>
  <c r="M121" i="24"/>
  <c r="N121" i="24"/>
  <c r="O121" i="24"/>
  <c r="M122" i="24"/>
  <c r="N122" i="24"/>
  <c r="O122" i="24"/>
  <c r="M123" i="24"/>
  <c r="N123" i="24"/>
  <c r="O123" i="24"/>
  <c r="M124" i="24"/>
  <c r="N124" i="24"/>
  <c r="O124" i="24"/>
  <c r="M125" i="24"/>
  <c r="N125" i="24"/>
  <c r="O125" i="24"/>
  <c r="M126" i="24"/>
  <c r="N126" i="24"/>
  <c r="O126" i="24"/>
  <c r="N100" i="24"/>
  <c r="O100" i="24"/>
  <c r="M100" i="24"/>
  <c r="N74" i="24"/>
  <c r="O74" i="24"/>
  <c r="N75" i="24"/>
  <c r="O75" i="24"/>
  <c r="N76" i="24"/>
  <c r="O76" i="24"/>
  <c r="N77" i="24"/>
  <c r="O77" i="24"/>
  <c r="M75" i="24"/>
  <c r="M76" i="24"/>
  <c r="M77" i="24"/>
  <c r="M74" i="24"/>
  <c r="N61" i="24"/>
  <c r="O61" i="24"/>
  <c r="N62" i="24"/>
  <c r="O62" i="24"/>
  <c r="N63" i="24"/>
  <c r="O63" i="24"/>
  <c r="N64" i="24"/>
  <c r="O64" i="24"/>
  <c r="M62" i="24"/>
  <c r="M63" i="24"/>
  <c r="M64" i="24"/>
  <c r="M61" i="24"/>
  <c r="P51" i="24"/>
  <c r="P52" i="24"/>
  <c r="P53" i="24"/>
  <c r="N51" i="24"/>
  <c r="O51" i="24"/>
  <c r="N52" i="24"/>
  <c r="O52" i="24"/>
  <c r="N53" i="24"/>
  <c r="O53" i="24"/>
  <c r="M52" i="24"/>
  <c r="M53" i="24"/>
  <c r="M51" i="24"/>
  <c r="N40" i="24"/>
  <c r="O40" i="24"/>
  <c r="N41" i="24"/>
  <c r="O41" i="24"/>
  <c r="N42" i="24"/>
  <c r="O42" i="24"/>
  <c r="N43" i="24"/>
  <c r="O43" i="24"/>
  <c r="M41" i="24"/>
  <c r="M42" i="24"/>
  <c r="M43" i="24"/>
  <c r="M40" i="24"/>
  <c r="N162" i="23"/>
  <c r="O162" i="23"/>
  <c r="N163" i="23"/>
  <c r="O163" i="23"/>
  <c r="N164" i="23"/>
  <c r="O164" i="23"/>
  <c r="M163" i="23"/>
  <c r="M164" i="23"/>
  <c r="M162" i="23"/>
  <c r="N153" i="23"/>
  <c r="O153" i="23"/>
  <c r="N154" i="23"/>
  <c r="Q154" i="23" s="1"/>
  <c r="O154" i="23"/>
  <c r="R154" i="23" s="1"/>
  <c r="M154" i="23"/>
  <c r="M153" i="23"/>
  <c r="N140" i="23"/>
  <c r="O140" i="23"/>
  <c r="N141" i="23"/>
  <c r="O141" i="23"/>
  <c r="N142" i="23"/>
  <c r="O142" i="23"/>
  <c r="M141" i="23"/>
  <c r="M142" i="23"/>
  <c r="M140" i="23"/>
  <c r="N100" i="23"/>
  <c r="O100" i="23"/>
  <c r="N102" i="23"/>
  <c r="O102" i="23"/>
  <c r="N103" i="23"/>
  <c r="O103" i="23"/>
  <c r="N105" i="23"/>
  <c r="O105" i="23"/>
  <c r="N106" i="23"/>
  <c r="O106" i="23"/>
  <c r="N107" i="23"/>
  <c r="O107" i="23"/>
  <c r="N108" i="23"/>
  <c r="O108" i="23"/>
  <c r="N109" i="23"/>
  <c r="O109" i="23"/>
  <c r="N110" i="23"/>
  <c r="O110" i="23"/>
  <c r="N111" i="23"/>
  <c r="O111" i="23"/>
  <c r="N112" i="23"/>
  <c r="O112" i="23"/>
  <c r="N113" i="23"/>
  <c r="O113" i="23"/>
  <c r="N114" i="23"/>
  <c r="O114" i="23"/>
  <c r="N115" i="23"/>
  <c r="O115" i="23"/>
  <c r="N116" i="23"/>
  <c r="O116" i="23"/>
  <c r="N117" i="23"/>
  <c r="O117" i="23"/>
  <c r="N118" i="23"/>
  <c r="O118" i="23"/>
  <c r="N119" i="23"/>
  <c r="O119" i="23"/>
  <c r="N120" i="23"/>
  <c r="O120" i="23"/>
  <c r="N121" i="23"/>
  <c r="O121" i="23"/>
  <c r="N122" i="23"/>
  <c r="O122" i="23"/>
  <c r="N123" i="23"/>
  <c r="O123" i="23"/>
  <c r="N124" i="23"/>
  <c r="O124" i="23"/>
  <c r="N125" i="23"/>
  <c r="O125" i="23"/>
  <c r="N126" i="23"/>
  <c r="O126" i="23"/>
  <c r="M102" i="23"/>
  <c r="M103" i="23"/>
  <c r="M105" i="23"/>
  <c r="M106" i="23"/>
  <c r="M107" i="23"/>
  <c r="M108" i="23"/>
  <c r="M109" i="23"/>
  <c r="M110" i="23"/>
  <c r="M111" i="23"/>
  <c r="M112" i="23"/>
  <c r="M113" i="23"/>
  <c r="M114" i="23"/>
  <c r="M115" i="23"/>
  <c r="M116" i="23"/>
  <c r="M117" i="23"/>
  <c r="M118" i="23"/>
  <c r="M119" i="23"/>
  <c r="M120" i="23"/>
  <c r="M121" i="23"/>
  <c r="M122" i="23"/>
  <c r="M123" i="23"/>
  <c r="M124" i="23"/>
  <c r="M125" i="23"/>
  <c r="M126" i="23"/>
  <c r="M100" i="23"/>
  <c r="N74" i="23"/>
  <c r="O74" i="23"/>
  <c r="N75" i="23"/>
  <c r="O75" i="23"/>
  <c r="N76" i="23"/>
  <c r="O76" i="23"/>
  <c r="N77" i="23"/>
  <c r="O77" i="23"/>
  <c r="M75" i="23"/>
  <c r="M76" i="23"/>
  <c r="M77" i="23"/>
  <c r="M74" i="23"/>
  <c r="N61" i="23"/>
  <c r="O61" i="23"/>
  <c r="N62" i="23"/>
  <c r="O62" i="23"/>
  <c r="N63" i="23"/>
  <c r="O63" i="23"/>
  <c r="N64" i="23"/>
  <c r="O64" i="23"/>
  <c r="M62" i="23"/>
  <c r="M63" i="23"/>
  <c r="M64" i="23"/>
  <c r="M61" i="23"/>
  <c r="P51" i="23"/>
  <c r="P52" i="23"/>
  <c r="P53" i="23"/>
  <c r="N51" i="23"/>
  <c r="O51" i="23"/>
  <c r="N52" i="23"/>
  <c r="O52" i="23"/>
  <c r="N53" i="23"/>
  <c r="O53" i="23"/>
  <c r="M52" i="23"/>
  <c r="M53" i="23"/>
  <c r="M51" i="23"/>
  <c r="N40" i="23"/>
  <c r="O40" i="23"/>
  <c r="N41" i="23"/>
  <c r="O41" i="23"/>
  <c r="N42" i="23"/>
  <c r="O42" i="23"/>
  <c r="N43" i="23"/>
  <c r="O43" i="23"/>
  <c r="M41" i="23"/>
  <c r="M42" i="23"/>
  <c r="M43" i="23"/>
  <c r="M40" i="23"/>
  <c r="C99" i="24" l="1"/>
  <c r="F39" i="12" l="1"/>
  <c r="E66" i="12"/>
  <c r="H60" i="12"/>
  <c r="H38" i="20" l="1"/>
  <c r="H34" i="20"/>
  <c r="H33" i="20"/>
  <c r="H32" i="20"/>
  <c r="H31" i="20"/>
  <c r="H30" i="20"/>
  <c r="H29" i="20"/>
  <c r="H27" i="20"/>
  <c r="H39" i="2"/>
  <c r="H29" i="2" l="1"/>
  <c r="P35" i="2"/>
  <c r="H34" i="2"/>
  <c r="H33" i="2"/>
  <c r="H32" i="2"/>
  <c r="H31" i="2"/>
  <c r="I43" i="21" l="1"/>
  <c r="I43" i="7"/>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D8" i="6"/>
  <c r="C126" i="5" l="1"/>
  <c r="C94" i="5"/>
  <c r="C79" i="5"/>
  <c r="C114" i="5"/>
  <c r="E96" i="11" l="1"/>
  <c r="E95" i="11"/>
  <c r="E94" i="11"/>
  <c r="E93" i="11"/>
  <c r="E97" i="11" l="1"/>
  <c r="E55" i="11"/>
  <c r="P159" i="20" l="1"/>
  <c r="P157" i="20"/>
  <c r="H82" i="20"/>
  <c r="H81" i="20"/>
  <c r="H79" i="20"/>
  <c r="P35" i="20"/>
  <c r="P33" i="20"/>
  <c r="P32" i="20"/>
  <c r="P31" i="20"/>
  <c r="P30" i="20"/>
  <c r="P29" i="20"/>
  <c r="P28" i="20"/>
  <c r="I42" i="24" l="1"/>
  <c r="I42" i="21"/>
  <c r="A63" i="11"/>
  <c r="A62" i="11"/>
  <c r="E61" i="11"/>
  <c r="D55" i="11"/>
  <c r="D61" i="11" s="1"/>
  <c r="C55" i="11"/>
  <c r="C61" i="11" s="1"/>
  <c r="B55" i="11"/>
  <c r="B61" i="11" s="1"/>
  <c r="F10" i="25"/>
  <c r="L10" i="25" s="1"/>
  <c r="E10" i="25"/>
  <c r="K10" i="25" s="1"/>
  <c r="K42" i="25"/>
  <c r="H42" i="25"/>
  <c r="E42" i="25"/>
  <c r="K41" i="25"/>
  <c r="H41" i="25"/>
  <c r="E41" i="25"/>
  <c r="I11" i="25"/>
  <c r="H11" i="25"/>
  <c r="C11" i="25"/>
  <c r="B11" i="25"/>
  <c r="G101" i="24"/>
  <c r="G104" i="24"/>
  <c r="I41" i="24"/>
  <c r="I40" i="24"/>
  <c r="F43" i="24"/>
  <c r="K43" i="24" s="1"/>
  <c r="R43" i="24" s="1"/>
  <c r="H14" i="24"/>
  <c r="H13" i="24"/>
  <c r="H12" i="24"/>
  <c r="H26" i="24" s="1"/>
  <c r="F16" i="24"/>
  <c r="F14" i="24"/>
  <c r="F13" i="24"/>
  <c r="F12" i="24"/>
  <c r="F9" i="24"/>
  <c r="F219" i="24"/>
  <c r="P164" i="24"/>
  <c r="L164" i="24"/>
  <c r="P163" i="24"/>
  <c r="L163" i="24"/>
  <c r="P162" i="24"/>
  <c r="L162" i="24"/>
  <c r="P153" i="24"/>
  <c r="J145" i="24"/>
  <c r="H145" i="24"/>
  <c r="G145" i="24"/>
  <c r="Q142" i="24"/>
  <c r="Q141" i="24"/>
  <c r="Q140" i="24"/>
  <c r="N173" i="24" s="1"/>
  <c r="L140" i="24"/>
  <c r="J140" i="24"/>
  <c r="H140" i="24"/>
  <c r="G140" i="24"/>
  <c r="J139" i="24"/>
  <c r="J141" i="24" s="1"/>
  <c r="H139" i="24"/>
  <c r="H142" i="24" s="1"/>
  <c r="G139" i="24"/>
  <c r="G144" i="24" s="1"/>
  <c r="J138" i="24"/>
  <c r="L142" i="24" s="1"/>
  <c r="H138" i="24"/>
  <c r="L141" i="24" s="1"/>
  <c r="A138" i="24"/>
  <c r="A137" i="24"/>
  <c r="A136" i="24"/>
  <c r="A135" i="24"/>
  <c r="A134" i="24"/>
  <c r="A133" i="24"/>
  <c r="Q126" i="24"/>
  <c r="Q125" i="24"/>
  <c r="Q124" i="24"/>
  <c r="Q123" i="24"/>
  <c r="Q122" i="24"/>
  <c r="Q121" i="24"/>
  <c r="Q120" i="24"/>
  <c r="Q119" i="24"/>
  <c r="Q118" i="24"/>
  <c r="Q117" i="24"/>
  <c r="Q116" i="24"/>
  <c r="Q115" i="24"/>
  <c r="Q114" i="24"/>
  <c r="Q113" i="24"/>
  <c r="Q112" i="24"/>
  <c r="Q111" i="24"/>
  <c r="Q110" i="24"/>
  <c r="B110" i="24"/>
  <c r="Q109" i="24"/>
  <c r="B109" i="24"/>
  <c r="Q108" i="24"/>
  <c r="R107" i="24"/>
  <c r="Q107" i="24"/>
  <c r="Q106" i="24"/>
  <c r="Q105" i="24"/>
  <c r="Q103" i="24"/>
  <c r="Q102" i="24"/>
  <c r="Q100" i="24"/>
  <c r="Q77" i="24"/>
  <c r="Q76" i="24"/>
  <c r="Q75" i="24"/>
  <c r="Q74" i="24"/>
  <c r="E71" i="24"/>
  <c r="I66" i="24"/>
  <c r="H66" i="24"/>
  <c r="G66" i="24"/>
  <c r="F66" i="24"/>
  <c r="Q64" i="24"/>
  <c r="Q63" i="24"/>
  <c r="Q62" i="24"/>
  <c r="I61" i="24"/>
  <c r="H61" i="24"/>
  <c r="G61" i="24"/>
  <c r="F61" i="24"/>
  <c r="I60" i="24"/>
  <c r="I65" i="24" s="1"/>
  <c r="H60" i="24"/>
  <c r="H63" i="24" s="1"/>
  <c r="G60" i="24"/>
  <c r="G65" i="24" s="1"/>
  <c r="F60" i="24"/>
  <c r="F65" i="24" s="1"/>
  <c r="I59" i="24"/>
  <c r="H59" i="24"/>
  <c r="G59" i="24"/>
  <c r="F59" i="24"/>
  <c r="E57" i="24"/>
  <c r="R53" i="24"/>
  <c r="Q53" i="24"/>
  <c r="Q52" i="24"/>
  <c r="Q51" i="24"/>
  <c r="E47" i="24"/>
  <c r="Q43" i="24"/>
  <c r="E36" i="24"/>
  <c r="C33" i="24"/>
  <c r="C34" i="24" s="1"/>
  <c r="B26" i="24"/>
  <c r="C16" i="24"/>
  <c r="C15" i="24"/>
  <c r="E9" i="24"/>
  <c r="F6" i="24"/>
  <c r="G101" i="23"/>
  <c r="G104" i="23"/>
  <c r="F43" i="23"/>
  <c r="F26" i="24" l="1"/>
  <c r="Q128" i="24"/>
  <c r="S43" i="24"/>
  <c r="F64" i="24"/>
  <c r="F62" i="24"/>
  <c r="G63" i="24"/>
  <c r="H64" i="24"/>
  <c r="H62" i="24"/>
  <c r="P165" i="24"/>
  <c r="Q78" i="24"/>
  <c r="H10" i="24"/>
  <c r="H20" i="24" s="1"/>
  <c r="Q54" i="24"/>
  <c r="I63" i="24"/>
  <c r="I64" i="24"/>
  <c r="I62" i="24"/>
  <c r="F63" i="24"/>
  <c r="G64" i="24"/>
  <c r="H65" i="24"/>
  <c r="H141" i="24"/>
  <c r="J142" i="24"/>
  <c r="H144" i="24"/>
  <c r="G143" i="24"/>
  <c r="Q143" i="24"/>
  <c r="N174" i="24" s="1"/>
  <c r="J144" i="24"/>
  <c r="G62" i="24"/>
  <c r="G142" i="24"/>
  <c r="H143" i="24"/>
  <c r="G141" i="24"/>
  <c r="J143" i="24"/>
  <c r="N175" i="23"/>
  <c r="Q164" i="23"/>
  <c r="L164" i="23"/>
  <c r="Q163" i="23"/>
  <c r="L163" i="23"/>
  <c r="R162" i="23"/>
  <c r="Q162" i="23"/>
  <c r="L162" i="23"/>
  <c r="Q153" i="23"/>
  <c r="J145" i="23"/>
  <c r="H145" i="23"/>
  <c r="G145" i="23"/>
  <c r="L140" i="23"/>
  <c r="J140" i="23"/>
  <c r="H140" i="23"/>
  <c r="G140" i="23"/>
  <c r="J139" i="23"/>
  <c r="J144" i="23" s="1"/>
  <c r="H139" i="23"/>
  <c r="H144" i="23" s="1"/>
  <c r="G139" i="23"/>
  <c r="J138" i="23"/>
  <c r="L142" i="23" s="1"/>
  <c r="H138" i="23"/>
  <c r="L141" i="23" s="1"/>
  <c r="A138" i="23"/>
  <c r="A137" i="23"/>
  <c r="A136" i="23"/>
  <c r="A135" i="23"/>
  <c r="A134" i="23"/>
  <c r="A133" i="23"/>
  <c r="B110" i="23"/>
  <c r="B109" i="23"/>
  <c r="R107" i="23"/>
  <c r="N89" i="23"/>
  <c r="R77" i="23"/>
  <c r="R76" i="23"/>
  <c r="R75" i="23"/>
  <c r="R74" i="23"/>
  <c r="E71" i="23"/>
  <c r="I66" i="23"/>
  <c r="H66" i="23"/>
  <c r="G66" i="23"/>
  <c r="F66" i="23"/>
  <c r="I61" i="23"/>
  <c r="H61" i="23"/>
  <c r="G61" i="23"/>
  <c r="F61" i="23"/>
  <c r="I60" i="23"/>
  <c r="I65" i="23" s="1"/>
  <c r="H60" i="23"/>
  <c r="H64" i="23" s="1"/>
  <c r="G60" i="23"/>
  <c r="G63" i="23" s="1"/>
  <c r="F60" i="23"/>
  <c r="I59" i="23"/>
  <c r="H59" i="23"/>
  <c r="G59" i="23"/>
  <c r="F59" i="23"/>
  <c r="E57" i="23"/>
  <c r="R52" i="23"/>
  <c r="R51" i="23"/>
  <c r="E47" i="23"/>
  <c r="R43" i="23"/>
  <c r="E36" i="23"/>
  <c r="C33" i="23"/>
  <c r="C34" i="23" s="1"/>
  <c r="B26" i="23"/>
  <c r="C16" i="23"/>
  <c r="K43" i="23"/>
  <c r="Q43" i="23" s="1"/>
  <c r="C15" i="23"/>
  <c r="E9" i="23"/>
  <c r="F6" i="23"/>
  <c r="E61" i="12"/>
  <c r="B97" i="11"/>
  <c r="I11" i="11"/>
  <c r="L34" i="12" s="1"/>
  <c r="K42" i="11"/>
  <c r="N60" i="12" s="1"/>
  <c r="K41" i="11"/>
  <c r="N59" i="12" s="1"/>
  <c r="K60" i="12"/>
  <c r="H41" i="11"/>
  <c r="K59" i="12" s="1"/>
  <c r="H59" i="12"/>
  <c r="O152" i="2"/>
  <c r="N152" i="2"/>
  <c r="I40" i="21"/>
  <c r="H11" i="11"/>
  <c r="S43" i="23" l="1"/>
  <c r="G67" i="24"/>
  <c r="G146" i="24"/>
  <c r="J146" i="24"/>
  <c r="F67" i="24"/>
  <c r="H67" i="24"/>
  <c r="H146" i="24"/>
  <c r="I67" i="24"/>
  <c r="I62" i="23"/>
  <c r="Q165" i="23"/>
  <c r="N173" i="23" s="1"/>
  <c r="R78" i="23"/>
  <c r="N86" i="23" s="1"/>
  <c r="G62" i="23"/>
  <c r="H63" i="23"/>
  <c r="I64" i="23"/>
  <c r="F65" i="23"/>
  <c r="G142" i="23"/>
  <c r="H143" i="23"/>
  <c r="H62" i="23"/>
  <c r="I63" i="23"/>
  <c r="F64" i="23"/>
  <c r="G65" i="23"/>
  <c r="G141" i="23"/>
  <c r="H142" i="23"/>
  <c r="J143" i="23"/>
  <c r="G144" i="23"/>
  <c r="F63" i="23"/>
  <c r="G64" i="23"/>
  <c r="H65" i="23"/>
  <c r="H141" i="23"/>
  <c r="J142" i="23"/>
  <c r="F62" i="23"/>
  <c r="J141" i="23"/>
  <c r="G143" i="23"/>
  <c r="I41" i="21"/>
  <c r="H67" i="23" l="1"/>
  <c r="H146" i="23"/>
  <c r="I67" i="23"/>
  <c r="G146" i="23"/>
  <c r="G67" i="23"/>
  <c r="J146" i="23"/>
  <c r="F67" i="23"/>
  <c r="K154" i="20"/>
  <c r="K153" i="20"/>
  <c r="K152" i="20"/>
  <c r="E147" i="20"/>
  <c r="C11" i="21"/>
  <c r="J145" i="21"/>
  <c r="H145" i="21"/>
  <c r="G145" i="21"/>
  <c r="J140" i="21"/>
  <c r="H140" i="21"/>
  <c r="G140" i="21"/>
  <c r="J139" i="21"/>
  <c r="J142" i="21" s="1"/>
  <c r="H139" i="21"/>
  <c r="H143" i="21" s="1"/>
  <c r="G139" i="21"/>
  <c r="G142" i="21" s="1"/>
  <c r="J138" i="21"/>
  <c r="H138" i="21"/>
  <c r="L141" i="21" s="1"/>
  <c r="A138" i="21"/>
  <c r="A137" i="21"/>
  <c r="A136" i="21"/>
  <c r="A135" i="21"/>
  <c r="A134" i="21"/>
  <c r="A133" i="21"/>
  <c r="G104" i="21"/>
  <c r="G101" i="21"/>
  <c r="I66" i="21"/>
  <c r="H66" i="21"/>
  <c r="G66" i="21"/>
  <c r="F66" i="21"/>
  <c r="I61" i="21"/>
  <c r="H61" i="21"/>
  <c r="G61" i="21"/>
  <c r="F61" i="21"/>
  <c r="I60" i="21"/>
  <c r="H60" i="21"/>
  <c r="G60" i="21"/>
  <c r="F60" i="21"/>
  <c r="F65" i="21" s="1"/>
  <c r="C33" i="21"/>
  <c r="C34" i="21" s="1"/>
  <c r="M30" i="21"/>
  <c r="B26" i="21"/>
  <c r="F16" i="21"/>
  <c r="C16" i="21"/>
  <c r="M15" i="21"/>
  <c r="F43" i="21" s="1"/>
  <c r="C15" i="21"/>
  <c r="M14" i="21"/>
  <c r="M13" i="21"/>
  <c r="M12" i="21"/>
  <c r="E9" i="21"/>
  <c r="F6" i="21"/>
  <c r="L164" i="21"/>
  <c r="L163" i="21"/>
  <c r="L162" i="21"/>
  <c r="Q142" i="21"/>
  <c r="Q141" i="21"/>
  <c r="Q140" i="21"/>
  <c r="L140" i="21"/>
  <c r="L142" i="21"/>
  <c r="Q126" i="21"/>
  <c r="Q122" i="21"/>
  <c r="B110" i="21"/>
  <c r="B109" i="21"/>
  <c r="Q107" i="21"/>
  <c r="Q75" i="21"/>
  <c r="Q74" i="21"/>
  <c r="E71" i="21"/>
  <c r="I59" i="21"/>
  <c r="H59" i="21"/>
  <c r="G59" i="21"/>
  <c r="F59" i="21"/>
  <c r="E57" i="21"/>
  <c r="Q52" i="21"/>
  <c r="E47" i="21"/>
  <c r="E36" i="21"/>
  <c r="E148" i="20"/>
  <c r="P82" i="20"/>
  <c r="P81" i="20"/>
  <c r="P80" i="20"/>
  <c r="P79" i="20"/>
  <c r="E39" i="20"/>
  <c r="E38" i="20"/>
  <c r="E36" i="20"/>
  <c r="M35" i="20"/>
  <c r="F14" i="21"/>
  <c r="H14" i="21"/>
  <c r="F13" i="21"/>
  <c r="H13" i="21"/>
  <c r="F12" i="21"/>
  <c r="E29" i="20"/>
  <c r="H12" i="21"/>
  <c r="H26" i="21" s="1"/>
  <c r="C11" i="11"/>
  <c r="F34" i="12" s="1"/>
  <c r="M27" i="20"/>
  <c r="B11" i="11"/>
  <c r="E27" i="20"/>
  <c r="P25" i="20"/>
  <c r="O25" i="20"/>
  <c r="O24" i="20"/>
  <c r="F115" i="20" s="1"/>
  <c r="G24" i="20"/>
  <c r="E77" i="20" l="1"/>
  <c r="C11" i="24"/>
  <c r="H16" i="24" s="1"/>
  <c r="H9" i="21"/>
  <c r="H16" i="21"/>
  <c r="G65" i="21"/>
  <c r="H65" i="21"/>
  <c r="I65" i="21"/>
  <c r="F7" i="24"/>
  <c r="F17" i="24" s="1"/>
  <c r="B9" i="25"/>
  <c r="H9" i="25" s="1"/>
  <c r="H7" i="21"/>
  <c r="H7" i="24"/>
  <c r="F110" i="20"/>
  <c r="K33" i="12"/>
  <c r="E33" i="12"/>
  <c r="L33" i="12"/>
  <c r="F33" i="12"/>
  <c r="F26" i="21"/>
  <c r="H10" i="21"/>
  <c r="H20" i="21" s="1"/>
  <c r="J144" i="21"/>
  <c r="M11" i="21"/>
  <c r="J141" i="21"/>
  <c r="F9" i="21"/>
  <c r="F7" i="21"/>
  <c r="F17" i="21" s="1"/>
  <c r="H62" i="21"/>
  <c r="H63" i="21"/>
  <c r="H64" i="21"/>
  <c r="G141" i="21"/>
  <c r="H142" i="21"/>
  <c r="J143" i="21"/>
  <c r="I62" i="21"/>
  <c r="I63" i="21"/>
  <c r="I64" i="21"/>
  <c r="H141" i="21"/>
  <c r="G144" i="21"/>
  <c r="F62" i="21"/>
  <c r="F63" i="21"/>
  <c r="F64" i="21"/>
  <c r="G143" i="21"/>
  <c r="H144" i="21"/>
  <c r="Q143" i="21"/>
  <c r="N174" i="21" s="1"/>
  <c r="G62" i="21"/>
  <c r="G63" i="21"/>
  <c r="G64" i="21"/>
  <c r="K43" i="21"/>
  <c r="S43" i="21" s="1"/>
  <c r="Q125" i="21"/>
  <c r="E196" i="19"/>
  <c r="O280" i="20" s="1"/>
  <c r="E195" i="19"/>
  <c r="O279" i="20" s="1"/>
  <c r="E194" i="19"/>
  <c r="O278" i="20" s="1"/>
  <c r="E193" i="19"/>
  <c r="O277" i="20" s="1"/>
  <c r="E192" i="19"/>
  <c r="O276" i="20" s="1"/>
  <c r="E191" i="19"/>
  <c r="O275" i="20" s="1"/>
  <c r="E186" i="19"/>
  <c r="G280" i="20" s="1"/>
  <c r="E185" i="19"/>
  <c r="G279" i="20" s="1"/>
  <c r="E184" i="19"/>
  <c r="G278" i="20" s="1"/>
  <c r="E183" i="19"/>
  <c r="G277" i="20" s="1"/>
  <c r="E182" i="19"/>
  <c r="G276" i="20" s="1"/>
  <c r="E181" i="19"/>
  <c r="G275" i="20" s="1"/>
  <c r="E128" i="19"/>
  <c r="E129" i="19" s="1"/>
  <c r="D128" i="19"/>
  <c r="D129" i="19" s="1"/>
  <c r="E126" i="19"/>
  <c r="D126" i="19"/>
  <c r="C126" i="19"/>
  <c r="C114" i="19"/>
  <c r="C128" i="19" s="1"/>
  <c r="C129" i="19" s="1"/>
  <c r="C102" i="19"/>
  <c r="D99" i="19"/>
  <c r="C99" i="19"/>
  <c r="F97" i="19"/>
  <c r="F96" i="19"/>
  <c r="G94" i="19"/>
  <c r="E94" i="19"/>
  <c r="D94" i="19"/>
  <c r="D95" i="19" s="1"/>
  <c r="C94" i="19"/>
  <c r="F93" i="19"/>
  <c r="F89" i="19"/>
  <c r="F88" i="19"/>
  <c r="H36" i="20" s="1"/>
  <c r="F80" i="19"/>
  <c r="E79" i="19"/>
  <c r="D79" i="19"/>
  <c r="C79" i="19"/>
  <c r="F78" i="19"/>
  <c r="N50" i="19"/>
  <c r="N49" i="19"/>
  <c r="N48" i="19"/>
  <c r="N47" i="19"/>
  <c r="N46" i="19"/>
  <c r="N45" i="19"/>
  <c r="N44" i="19"/>
  <c r="N43" i="19"/>
  <c r="N42" i="19"/>
  <c r="N41" i="19"/>
  <c r="N40" i="19"/>
  <c r="N39" i="19"/>
  <c r="N38" i="19"/>
  <c r="N37" i="19"/>
  <c r="N36" i="19"/>
  <c r="N35" i="19"/>
  <c r="N34" i="19"/>
  <c r="N33" i="19"/>
  <c r="N32" i="19"/>
  <c r="N31" i="19"/>
  <c r="N30" i="19"/>
  <c r="N29" i="19"/>
  <c r="N28" i="19"/>
  <c r="N27" i="19"/>
  <c r="N26" i="19"/>
  <c r="N25" i="19"/>
  <c r="N24" i="19"/>
  <c r="N23" i="19"/>
  <c r="N22" i="19"/>
  <c r="N21" i="19"/>
  <c r="N20" i="19"/>
  <c r="N19" i="19"/>
  <c r="N18" i="19"/>
  <c r="N17" i="19"/>
  <c r="N16" i="19"/>
  <c r="N15" i="19"/>
  <c r="N14" i="19"/>
  <c r="N13" i="19"/>
  <c r="N12" i="19"/>
  <c r="N11" i="19"/>
  <c r="N10" i="19"/>
  <c r="N9" i="19"/>
  <c r="N8" i="19"/>
  <c r="K153" i="2"/>
  <c r="M15" i="7"/>
  <c r="F43" i="7" s="1"/>
  <c r="M14" i="7"/>
  <c r="M13" i="7"/>
  <c r="M12" i="7"/>
  <c r="H28" i="20" l="1"/>
  <c r="F11" i="21" s="1"/>
  <c r="H9" i="24"/>
  <c r="J146" i="21"/>
  <c r="G67" i="21"/>
  <c r="I67" i="21"/>
  <c r="H67" i="21"/>
  <c r="F79" i="19"/>
  <c r="G95" i="19"/>
  <c r="K68" i="20" s="1"/>
  <c r="C95" i="19"/>
  <c r="K65" i="20" s="1"/>
  <c r="F94" i="19"/>
  <c r="F95" i="19" s="1"/>
  <c r="K66" i="20"/>
  <c r="E95" i="19"/>
  <c r="K67" i="20" s="1"/>
  <c r="M11" i="7"/>
  <c r="H146" i="21"/>
  <c r="G146" i="21"/>
  <c r="F67" i="21"/>
  <c r="Q117" i="21"/>
  <c r="R117" i="21"/>
  <c r="Q115" i="21"/>
  <c r="R115" i="21"/>
  <c r="Q100" i="21"/>
  <c r="R100" i="21"/>
  <c r="Q121" i="21"/>
  <c r="Q114" i="21"/>
  <c r="R114" i="21"/>
  <c r="Q110" i="21"/>
  <c r="R110" i="21"/>
  <c r="Q109" i="21"/>
  <c r="R109" i="21"/>
  <c r="Q123" i="21"/>
  <c r="Q113" i="21"/>
  <c r="R113" i="21"/>
  <c r="Q111" i="21"/>
  <c r="R111" i="21"/>
  <c r="Q105" i="21"/>
  <c r="R105" i="21"/>
  <c r="Q108" i="21"/>
  <c r="Q116" i="21"/>
  <c r="Q124" i="21"/>
  <c r="Q106" i="21"/>
  <c r="Q118" i="21"/>
  <c r="R118" i="21"/>
  <c r="Q119" i="21"/>
  <c r="Q120" i="21"/>
  <c r="Q112" i="21"/>
  <c r="R112" i="21"/>
  <c r="Q103" i="21"/>
  <c r="Q102" i="21"/>
  <c r="Q43" i="21"/>
  <c r="R43" i="21"/>
  <c r="Q51" i="21"/>
  <c r="F27" i="21" l="1"/>
  <c r="F10" i="21"/>
  <c r="F20" i="21" s="1"/>
  <c r="F11" i="24"/>
  <c r="Q128" i="21"/>
  <c r="R77" i="24"/>
  <c r="P153" i="21"/>
  <c r="Q77" i="21"/>
  <c r="R53" i="21"/>
  <c r="N175" i="7"/>
  <c r="N89" i="7"/>
  <c r="E148" i="2"/>
  <c r="F10" i="24" l="1"/>
  <c r="F20" i="24" s="1"/>
  <c r="F27" i="24"/>
  <c r="R77" i="21"/>
  <c r="R74" i="7"/>
  <c r="C16" i="7"/>
  <c r="C15" i="7"/>
  <c r="E9" i="7"/>
  <c r="F6" i="7"/>
  <c r="B9" i="11" l="1"/>
  <c r="H9" i="11" s="1"/>
  <c r="L11" i="25"/>
  <c r="F11" i="25"/>
  <c r="L11" i="11"/>
  <c r="F11" i="11"/>
  <c r="P163" i="21"/>
  <c r="M27" i="2"/>
  <c r="E27" i="2"/>
  <c r="I51" i="12" l="1"/>
  <c r="E51" i="12"/>
  <c r="I47" i="12"/>
  <c r="I45" i="12"/>
  <c r="O45" i="12" s="1"/>
  <c r="I44" i="12"/>
  <c r="O44" i="12" s="1"/>
  <c r="O43" i="12"/>
  <c r="B23" i="12"/>
  <c r="B22" i="12"/>
  <c r="B21" i="12"/>
  <c r="B20" i="12"/>
  <c r="B19" i="12"/>
  <c r="B18" i="12"/>
  <c r="B17" i="12"/>
  <c r="C13" i="12"/>
  <c r="C11" i="12"/>
  <c r="C9" i="12"/>
  <c r="N5" i="12"/>
  <c r="K5" i="12"/>
  <c r="H5" i="12"/>
  <c r="E5" i="12"/>
  <c r="N4" i="12"/>
  <c r="K4" i="12"/>
  <c r="H4" i="12"/>
  <c r="E4" i="12"/>
  <c r="N1" i="12"/>
  <c r="K1" i="12"/>
  <c r="H1" i="12"/>
  <c r="E1" i="12"/>
  <c r="K34" i="12"/>
  <c r="F10" i="11"/>
  <c r="E10" i="11"/>
  <c r="F210" i="7"/>
  <c r="F210" i="23" s="1"/>
  <c r="L164" i="7"/>
  <c r="L163" i="7"/>
  <c r="L162" i="7"/>
  <c r="J145" i="7"/>
  <c r="H145" i="7"/>
  <c r="G145" i="7"/>
  <c r="L140" i="7"/>
  <c r="J140" i="7"/>
  <c r="H140" i="7"/>
  <c r="G140" i="7"/>
  <c r="J139" i="7"/>
  <c r="H139" i="7"/>
  <c r="G139" i="7"/>
  <c r="G141" i="7" s="1"/>
  <c r="J138" i="7"/>
  <c r="L142" i="7" s="1"/>
  <c r="H138" i="7"/>
  <c r="L141" i="7" s="1"/>
  <c r="A138" i="7"/>
  <c r="A137" i="7"/>
  <c r="A136" i="7"/>
  <c r="A135" i="7"/>
  <c r="A134" i="7"/>
  <c r="A133" i="7"/>
  <c r="B110" i="7"/>
  <c r="B109" i="7"/>
  <c r="G104" i="7"/>
  <c r="G101" i="7"/>
  <c r="R77" i="7"/>
  <c r="R75" i="7"/>
  <c r="E71" i="7"/>
  <c r="I66" i="7"/>
  <c r="H66" i="7"/>
  <c r="G66" i="7"/>
  <c r="F66" i="7"/>
  <c r="I61" i="7"/>
  <c r="H61" i="7"/>
  <c r="G61" i="7"/>
  <c r="F61" i="7"/>
  <c r="I60" i="7"/>
  <c r="H60" i="7"/>
  <c r="G60" i="7"/>
  <c r="F60" i="7"/>
  <c r="F64" i="7" s="1"/>
  <c r="I59" i="7"/>
  <c r="H59" i="7"/>
  <c r="G59" i="7"/>
  <c r="F59" i="7"/>
  <c r="E57" i="7"/>
  <c r="E47" i="7"/>
  <c r="R43" i="7"/>
  <c r="E36" i="7"/>
  <c r="C33" i="7"/>
  <c r="C34" i="7" s="1"/>
  <c r="M30" i="7"/>
  <c r="B26" i="7"/>
  <c r="C11" i="7"/>
  <c r="E118" i="19" s="1"/>
  <c r="C21" i="6"/>
  <c r="C20" i="6"/>
  <c r="C13" i="6"/>
  <c r="D9" i="6"/>
  <c r="D7" i="6"/>
  <c r="E196" i="5"/>
  <c r="E195" i="5"/>
  <c r="O280" i="2" s="1"/>
  <c r="E194" i="5"/>
  <c r="E193" i="5"/>
  <c r="O278" i="2" s="1"/>
  <c r="E192" i="5"/>
  <c r="E191" i="5"/>
  <c r="O276" i="2" s="1"/>
  <c r="E186" i="5"/>
  <c r="E185" i="5"/>
  <c r="G280" i="2" s="1"/>
  <c r="E184" i="5"/>
  <c r="E183" i="5"/>
  <c r="E182" i="5"/>
  <c r="E181" i="5"/>
  <c r="P163" i="5"/>
  <c r="Q163" i="5" s="1"/>
  <c r="O163" i="5"/>
  <c r="I163" i="5"/>
  <c r="K163" i="5" s="1"/>
  <c r="L163" i="5" s="1"/>
  <c r="D163" i="5"/>
  <c r="F163" i="5" s="1"/>
  <c r="G163" i="5" s="1"/>
  <c r="P162" i="5"/>
  <c r="I162" i="5"/>
  <c r="K162" i="5" s="1"/>
  <c r="D162" i="5"/>
  <c r="F162" i="5" s="1"/>
  <c r="P161" i="5"/>
  <c r="I161" i="5"/>
  <c r="K161" i="5" s="1"/>
  <c r="D161" i="5"/>
  <c r="F161" i="5" s="1"/>
  <c r="G161" i="5" s="1"/>
  <c r="P160" i="5"/>
  <c r="I160" i="5"/>
  <c r="K160" i="5" s="1"/>
  <c r="D160" i="5"/>
  <c r="P159" i="5"/>
  <c r="I159" i="5"/>
  <c r="K159" i="5" s="1"/>
  <c r="D159" i="5"/>
  <c r="P158" i="5"/>
  <c r="Q158" i="5" s="1"/>
  <c r="O158" i="5"/>
  <c r="I158" i="5"/>
  <c r="K158" i="5" s="1"/>
  <c r="L158" i="5" s="1"/>
  <c r="D158" i="5"/>
  <c r="F158" i="5" s="1"/>
  <c r="G158" i="5" s="1"/>
  <c r="P157" i="5"/>
  <c r="I157" i="5"/>
  <c r="K157" i="5" s="1"/>
  <c r="D157" i="5"/>
  <c r="F157" i="5" s="1"/>
  <c r="P156" i="5"/>
  <c r="I156" i="5"/>
  <c r="K156" i="5" s="1"/>
  <c r="D156" i="5"/>
  <c r="P155" i="5"/>
  <c r="I155" i="5"/>
  <c r="K155" i="5" s="1"/>
  <c r="L155" i="5" s="1"/>
  <c r="D155" i="5"/>
  <c r="F155" i="5" s="1"/>
  <c r="G155" i="5" s="1"/>
  <c r="P154" i="5"/>
  <c r="I154" i="5"/>
  <c r="K154" i="5" s="1"/>
  <c r="D154" i="5"/>
  <c r="F154" i="5" s="1"/>
  <c r="G154" i="5" s="1"/>
  <c r="P153" i="5"/>
  <c r="I153" i="5"/>
  <c r="K153" i="5" s="1"/>
  <c r="D153" i="5"/>
  <c r="F153" i="5" s="1"/>
  <c r="P152" i="5"/>
  <c r="I152" i="5"/>
  <c r="K152" i="5" s="1"/>
  <c r="D152" i="5"/>
  <c r="E152" i="5" s="1"/>
  <c r="P151" i="5"/>
  <c r="I151" i="5"/>
  <c r="K151" i="5" s="1"/>
  <c r="D151" i="5"/>
  <c r="F151" i="5" s="1"/>
  <c r="G151" i="5" s="1"/>
  <c r="P150" i="5"/>
  <c r="I150" i="5"/>
  <c r="K150" i="5" s="1"/>
  <c r="D150" i="5"/>
  <c r="F150" i="5" s="1"/>
  <c r="G150" i="5" s="1"/>
  <c r="P149" i="5"/>
  <c r="I149" i="5"/>
  <c r="K149" i="5" s="1"/>
  <c r="D149" i="5"/>
  <c r="F149" i="5" s="1"/>
  <c r="G149" i="5" s="1"/>
  <c r="P148" i="5"/>
  <c r="I148" i="5"/>
  <c r="K148" i="5" s="1"/>
  <c r="D148" i="5"/>
  <c r="F148" i="5" s="1"/>
  <c r="G148" i="5" s="1"/>
  <c r="P147" i="5"/>
  <c r="I147" i="5"/>
  <c r="K147" i="5" s="1"/>
  <c r="D147" i="5"/>
  <c r="E147" i="5" s="1"/>
  <c r="P146" i="5"/>
  <c r="I146" i="5"/>
  <c r="K146" i="5" s="1"/>
  <c r="D146" i="5"/>
  <c r="F146" i="5" s="1"/>
  <c r="P145" i="5"/>
  <c r="I145" i="5"/>
  <c r="K145" i="5" s="1"/>
  <c r="D145" i="5"/>
  <c r="F145" i="5" s="1"/>
  <c r="P144" i="5"/>
  <c r="I144" i="5"/>
  <c r="K144" i="5" s="1"/>
  <c r="D144" i="5"/>
  <c r="F144" i="5" s="1"/>
  <c r="G144" i="5" s="1"/>
  <c r="P143" i="5"/>
  <c r="I143" i="5"/>
  <c r="K143" i="5" s="1"/>
  <c r="D143" i="5"/>
  <c r="F143" i="5" s="1"/>
  <c r="P142" i="5"/>
  <c r="I142" i="5"/>
  <c r="K142" i="5" s="1"/>
  <c r="D142" i="5"/>
  <c r="F142" i="5" s="1"/>
  <c r="G142" i="5" s="1"/>
  <c r="P141" i="5"/>
  <c r="Q141" i="5" s="1"/>
  <c r="O141" i="5"/>
  <c r="I141" i="5"/>
  <c r="K141" i="5" s="1"/>
  <c r="L141" i="5" s="1"/>
  <c r="D141" i="5"/>
  <c r="F141" i="5" s="1"/>
  <c r="G141" i="5" s="1"/>
  <c r="P140" i="5"/>
  <c r="I140" i="5"/>
  <c r="K140" i="5" s="1"/>
  <c r="D140" i="5"/>
  <c r="F140" i="5" s="1"/>
  <c r="P139" i="5"/>
  <c r="I139" i="5"/>
  <c r="K139" i="5" s="1"/>
  <c r="D139" i="5"/>
  <c r="F139" i="5" s="1"/>
  <c r="P137" i="5"/>
  <c r="Q137" i="5" s="1"/>
  <c r="O137" i="5"/>
  <c r="I137" i="5"/>
  <c r="K137" i="5" s="1"/>
  <c r="L137" i="5" s="1"/>
  <c r="D137" i="5"/>
  <c r="F137" i="5" s="1"/>
  <c r="G137" i="5" s="1"/>
  <c r="E128" i="5"/>
  <c r="E129" i="5" s="1"/>
  <c r="D128" i="5"/>
  <c r="D129" i="5" s="1"/>
  <c r="E126" i="5"/>
  <c r="D126" i="5"/>
  <c r="C128" i="5"/>
  <c r="C129" i="5" s="1"/>
  <c r="D99" i="5"/>
  <c r="C99" i="5"/>
  <c r="F97" i="5"/>
  <c r="F96" i="5"/>
  <c r="G94" i="5"/>
  <c r="G95" i="5" s="1"/>
  <c r="E94" i="5"/>
  <c r="E95" i="5" s="1"/>
  <c r="D94" i="5"/>
  <c r="F94" i="5" s="1"/>
  <c r="F95" i="5" s="1"/>
  <c r="C95" i="5"/>
  <c r="F93" i="5"/>
  <c r="H38" i="2" s="1"/>
  <c r="F89" i="5"/>
  <c r="H36" i="2" s="1"/>
  <c r="F88" i="5"/>
  <c r="F80" i="5"/>
  <c r="E79" i="5"/>
  <c r="D79" i="5"/>
  <c r="F78" i="5"/>
  <c r="H27" i="2" s="1"/>
  <c r="F9" i="7" s="1"/>
  <c r="N8" i="5"/>
  <c r="L294" i="2"/>
  <c r="O281" i="2"/>
  <c r="G281" i="2"/>
  <c r="O279" i="2"/>
  <c r="G279" i="2"/>
  <c r="G278" i="2"/>
  <c r="O277" i="2"/>
  <c r="G277" i="2"/>
  <c r="G276" i="2"/>
  <c r="P160" i="2"/>
  <c r="P158" i="2"/>
  <c r="E149" i="2"/>
  <c r="K69" i="2"/>
  <c r="H83" i="2"/>
  <c r="P83" i="2" s="1"/>
  <c r="H82" i="2"/>
  <c r="P81" i="2"/>
  <c r="H80" i="2"/>
  <c r="P80" i="2" s="1"/>
  <c r="E39" i="2"/>
  <c r="E38" i="2"/>
  <c r="E36" i="2"/>
  <c r="M35" i="2"/>
  <c r="P33" i="2"/>
  <c r="P32" i="2"/>
  <c r="P31" i="2"/>
  <c r="P30" i="2"/>
  <c r="P29" i="2"/>
  <c r="E29" i="2"/>
  <c r="P28" i="2"/>
  <c r="P25" i="2"/>
  <c r="O25" i="2"/>
  <c r="O24" i="2"/>
  <c r="F116" i="2" s="1"/>
  <c r="G24" i="2"/>
  <c r="K49" i="1"/>
  <c r="F49" i="1"/>
  <c r="K48" i="1"/>
  <c r="H13" i="6" s="1"/>
  <c r="I48" i="1"/>
  <c r="K47" i="1"/>
  <c r="H12" i="6" s="1"/>
  <c r="I47" i="1"/>
  <c r="K46" i="1"/>
  <c r="H11" i="6" s="1"/>
  <c r="I46" i="1"/>
  <c r="K45" i="1"/>
  <c r="H10" i="6" s="1"/>
  <c r="I45" i="1"/>
  <c r="K44" i="1"/>
  <c r="H9" i="6" s="1"/>
  <c r="I44" i="1"/>
  <c r="K43" i="1"/>
  <c r="H8" i="6" s="1"/>
  <c r="I43" i="1"/>
  <c r="E78" i="2" l="1"/>
  <c r="E11" i="11"/>
  <c r="K11" i="25"/>
  <c r="K11" i="11"/>
  <c r="E11" i="25"/>
  <c r="F9" i="23"/>
  <c r="F79" i="5"/>
  <c r="H28" i="2"/>
  <c r="F11" i="7" s="1"/>
  <c r="F27" i="7" s="1"/>
  <c r="C11" i="23"/>
  <c r="H9" i="23" s="1"/>
  <c r="E118" i="5"/>
  <c r="H16" i="7"/>
  <c r="H9" i="7"/>
  <c r="I42" i="7"/>
  <c r="I42" i="23"/>
  <c r="H143" i="7"/>
  <c r="H144" i="7"/>
  <c r="H141" i="7"/>
  <c r="H142" i="7"/>
  <c r="I65" i="7"/>
  <c r="J144" i="7"/>
  <c r="J142" i="7"/>
  <c r="J143" i="7"/>
  <c r="J141" i="7"/>
  <c r="E9" i="25"/>
  <c r="K9" i="25" s="1"/>
  <c r="F7" i="23"/>
  <c r="F17" i="23" s="1"/>
  <c r="H7" i="23"/>
  <c r="F12" i="7"/>
  <c r="F26" i="7" s="1"/>
  <c r="F12" i="23"/>
  <c r="F26" i="23" s="1"/>
  <c r="H13" i="7"/>
  <c r="H13" i="23"/>
  <c r="H12" i="7"/>
  <c r="H26" i="7" s="1"/>
  <c r="H12" i="23"/>
  <c r="H26" i="23" s="1"/>
  <c r="F16" i="7"/>
  <c r="F16" i="23"/>
  <c r="P82" i="2"/>
  <c r="F13" i="7"/>
  <c r="F13" i="23"/>
  <c r="I40" i="23"/>
  <c r="I41" i="23"/>
  <c r="H14" i="7"/>
  <c r="H14" i="23"/>
  <c r="F14" i="7"/>
  <c r="F14" i="23"/>
  <c r="F152" i="5"/>
  <c r="G152" i="5" s="1"/>
  <c r="F147" i="5"/>
  <c r="G147" i="5" s="1"/>
  <c r="K66" i="2"/>
  <c r="I49" i="1"/>
  <c r="C14" i="6" s="1"/>
  <c r="G43" i="7"/>
  <c r="G43" i="23"/>
  <c r="J130" i="2" s="1"/>
  <c r="G77" i="23" s="1"/>
  <c r="B133" i="7"/>
  <c r="B133" i="23"/>
  <c r="B135" i="7"/>
  <c r="B135" i="23"/>
  <c r="B137" i="7"/>
  <c r="B137" i="23"/>
  <c r="F156" i="5"/>
  <c r="F159" i="5"/>
  <c r="F160" i="5"/>
  <c r="B134" i="21"/>
  <c r="B134" i="24"/>
  <c r="B138" i="21"/>
  <c r="B138" i="24"/>
  <c r="G43" i="24"/>
  <c r="H43" i="24" s="1"/>
  <c r="G43" i="21"/>
  <c r="J129" i="20" s="1"/>
  <c r="B135" i="21"/>
  <c r="B135" i="24"/>
  <c r="B134" i="7"/>
  <c r="B134" i="23"/>
  <c r="B136" i="7"/>
  <c r="B136" i="23"/>
  <c r="B138" i="7"/>
  <c r="B138" i="23"/>
  <c r="K68" i="2"/>
  <c r="E144" i="5"/>
  <c r="E148" i="5"/>
  <c r="E151" i="5"/>
  <c r="E154" i="5"/>
  <c r="B136" i="21"/>
  <c r="B136" i="24"/>
  <c r="B133" i="21"/>
  <c r="B133" i="24"/>
  <c r="B137" i="21"/>
  <c r="B137" i="24"/>
  <c r="O47" i="12"/>
  <c r="I33" i="12"/>
  <c r="O33" i="12"/>
  <c r="N33" i="12"/>
  <c r="H33" i="12"/>
  <c r="I40" i="7"/>
  <c r="I41" i="7"/>
  <c r="F111" i="2"/>
  <c r="E9" i="11"/>
  <c r="K9" i="11" s="1"/>
  <c r="D10" i="6"/>
  <c r="E34" i="12"/>
  <c r="I34" i="12"/>
  <c r="O34" i="12" s="1"/>
  <c r="D95" i="5"/>
  <c r="E137" i="5"/>
  <c r="J137" i="5"/>
  <c r="E142" i="5"/>
  <c r="E150" i="5"/>
  <c r="E158" i="5"/>
  <c r="J158" i="5"/>
  <c r="E141" i="5"/>
  <c r="J141" i="5"/>
  <c r="E149" i="5"/>
  <c r="E155" i="5"/>
  <c r="J155" i="5"/>
  <c r="E161" i="5"/>
  <c r="E163" i="5"/>
  <c r="J163" i="5"/>
  <c r="I63" i="7"/>
  <c r="F63" i="7"/>
  <c r="F65" i="7"/>
  <c r="G143" i="7"/>
  <c r="F62" i="7"/>
  <c r="G144" i="7"/>
  <c r="I62" i="7"/>
  <c r="I64" i="7"/>
  <c r="G142" i="7"/>
  <c r="G62" i="7"/>
  <c r="G63" i="7"/>
  <c r="G64" i="7"/>
  <c r="G65" i="7"/>
  <c r="H62" i="7"/>
  <c r="H63" i="7"/>
  <c r="H64" i="7"/>
  <c r="H65" i="7"/>
  <c r="H7" i="7"/>
  <c r="K10" i="11"/>
  <c r="F7" i="7"/>
  <c r="L10" i="11"/>
  <c r="F17" i="7" l="1"/>
  <c r="G77" i="21"/>
  <c r="G77" i="24"/>
  <c r="F11" i="23"/>
  <c r="F10" i="23" s="1"/>
  <c r="H16" i="23"/>
  <c r="H43" i="23"/>
  <c r="G9" i="6"/>
  <c r="C192" i="7" s="1"/>
  <c r="G8" i="6"/>
  <c r="H10" i="7"/>
  <c r="H20" i="7" s="1"/>
  <c r="H43" i="21"/>
  <c r="H43" i="7"/>
  <c r="I67" i="7"/>
  <c r="H67" i="7"/>
  <c r="G67" i="7"/>
  <c r="F10" i="7"/>
  <c r="F27" i="23"/>
  <c r="H10" i="23"/>
  <c r="H20" i="23" s="1"/>
  <c r="G42" i="24"/>
  <c r="J117" i="20" s="1"/>
  <c r="F54" i="21" s="1"/>
  <c r="G42" i="21"/>
  <c r="J128" i="20" s="1"/>
  <c r="K67" i="2"/>
  <c r="G42" i="7"/>
  <c r="G42" i="23"/>
  <c r="J118" i="2" s="1"/>
  <c r="G40" i="7"/>
  <c r="G40" i="23"/>
  <c r="J127" i="2" s="1"/>
  <c r="G40" i="24"/>
  <c r="G40" i="21"/>
  <c r="J126" i="20" s="1"/>
  <c r="K43" i="7"/>
  <c r="S43" i="7" s="1"/>
  <c r="G10" i="6"/>
  <c r="G13" i="6"/>
  <c r="G12" i="6"/>
  <c r="G11" i="6"/>
  <c r="G146" i="7"/>
  <c r="J146" i="7"/>
  <c r="H146" i="7"/>
  <c r="F67" i="7"/>
  <c r="H34" i="12"/>
  <c r="N34" i="12"/>
  <c r="F20" i="7" l="1"/>
  <c r="F20" i="23"/>
  <c r="J129" i="2"/>
  <c r="F196" i="21"/>
  <c r="F196" i="24"/>
  <c r="F196" i="23"/>
  <c r="F196" i="7"/>
  <c r="F194" i="21"/>
  <c r="F194" i="7"/>
  <c r="F194" i="24"/>
  <c r="F194" i="23"/>
  <c r="F195" i="24"/>
  <c r="F195" i="23"/>
  <c r="F195" i="7"/>
  <c r="F195" i="21"/>
  <c r="F191" i="21"/>
  <c r="F191" i="7"/>
  <c r="F191" i="24"/>
  <c r="F191" i="23"/>
  <c r="F193" i="21"/>
  <c r="F193" i="7"/>
  <c r="F193" i="24"/>
  <c r="F193" i="23"/>
  <c r="F192" i="7"/>
  <c r="F192" i="24"/>
  <c r="F192" i="23"/>
  <c r="F192" i="21"/>
  <c r="C192" i="24"/>
  <c r="C192" i="21"/>
  <c r="C134" i="21"/>
  <c r="C134" i="7"/>
  <c r="C134" i="23"/>
  <c r="C192" i="23"/>
  <c r="C19" i="12"/>
  <c r="C134" i="24"/>
  <c r="C22" i="12"/>
  <c r="C23" i="12"/>
  <c r="C18" i="12"/>
  <c r="C21" i="12"/>
  <c r="S77" i="24"/>
  <c r="S77" i="21"/>
  <c r="Q43" i="7"/>
  <c r="C135" i="7"/>
  <c r="C20" i="12"/>
  <c r="G14" i="6"/>
  <c r="G41" i="24"/>
  <c r="G41" i="21"/>
  <c r="J127" i="20" s="1"/>
  <c r="G41" i="7"/>
  <c r="G41" i="23"/>
  <c r="J128" i="2" s="1"/>
  <c r="C193" i="7"/>
  <c r="C136" i="24"/>
  <c r="C194" i="24"/>
  <c r="C194" i="23"/>
  <c r="C136" i="23"/>
  <c r="C137" i="7"/>
  <c r="C195" i="24"/>
  <c r="C195" i="23"/>
  <c r="C137" i="23"/>
  <c r="C137" i="24"/>
  <c r="C196" i="7"/>
  <c r="C196" i="24"/>
  <c r="C138" i="24"/>
  <c r="C196" i="23"/>
  <c r="C138" i="23"/>
  <c r="C191" i="24"/>
  <c r="C191" i="23"/>
  <c r="C133" i="7"/>
  <c r="C133" i="24"/>
  <c r="C133" i="23"/>
  <c r="C193" i="24"/>
  <c r="C135" i="24"/>
  <c r="C193" i="23"/>
  <c r="C135" i="23"/>
  <c r="C138" i="21"/>
  <c r="C196" i="21"/>
  <c r="C191" i="21"/>
  <c r="C133" i="21"/>
  <c r="C193" i="21"/>
  <c r="C135" i="21"/>
  <c r="C195" i="7"/>
  <c r="C195" i="21"/>
  <c r="C137" i="21"/>
  <c r="C194" i="21"/>
  <c r="C136" i="21"/>
  <c r="C138" i="7"/>
  <c r="C136" i="7"/>
  <c r="C191" i="7"/>
  <c r="C194" i="7"/>
  <c r="H14" i="6"/>
  <c r="F197" i="24" l="1"/>
  <c r="F197" i="7"/>
  <c r="K79" i="12" s="1"/>
  <c r="F197" i="21"/>
  <c r="H92" i="12" s="1"/>
  <c r="F197" i="23"/>
  <c r="C19" i="7"/>
  <c r="C15" i="12"/>
  <c r="C197" i="24"/>
  <c r="F217" i="24" s="1"/>
  <c r="C139" i="7"/>
  <c r="F55" i="7" s="1"/>
  <c r="G77" i="7"/>
  <c r="C139" i="23"/>
  <c r="F55" i="23" s="1"/>
  <c r="F179" i="23" s="1"/>
  <c r="C139" i="24"/>
  <c r="F55" i="24" s="1"/>
  <c r="F179" i="24" s="1"/>
  <c r="P179" i="24" s="1"/>
  <c r="C197" i="21"/>
  <c r="C197" i="23"/>
  <c r="F217" i="23" s="1"/>
  <c r="C22" i="24"/>
  <c r="C22" i="23"/>
  <c r="C19" i="24"/>
  <c r="C109" i="24" s="1"/>
  <c r="C19" i="23"/>
  <c r="C109" i="23" s="1"/>
  <c r="C197" i="7"/>
  <c r="C139" i="21"/>
  <c r="H15" i="6"/>
  <c r="C22" i="21"/>
  <c r="C19" i="21"/>
  <c r="C109" i="21" s="1"/>
  <c r="G15" i="6"/>
  <c r="C22" i="7"/>
  <c r="I148" i="20" l="1"/>
  <c r="G148" i="20"/>
  <c r="C109" i="7"/>
  <c r="I149" i="2" s="1"/>
  <c r="I150" i="2" s="1"/>
  <c r="H79" i="12"/>
  <c r="E40" i="11"/>
  <c r="H58" i="12" s="1"/>
  <c r="E44" i="12"/>
  <c r="N44" i="12"/>
  <c r="K44" i="12"/>
  <c r="H44" i="12"/>
  <c r="K100" i="12"/>
  <c r="E48" i="11"/>
  <c r="H85" i="12"/>
  <c r="H48" i="11"/>
  <c r="B40" i="11"/>
  <c r="N92" i="12"/>
  <c r="F217" i="7"/>
  <c r="Q77" i="23"/>
  <c r="S77" i="23"/>
  <c r="F55" i="21"/>
  <c r="F179" i="21" s="1"/>
  <c r="P179" i="21" s="1"/>
  <c r="H81" i="12"/>
  <c r="E81" i="12"/>
  <c r="K80" i="12"/>
  <c r="E80" i="12"/>
  <c r="K92" i="12"/>
  <c r="F179" i="7"/>
  <c r="P179" i="7" s="1"/>
  <c r="E79" i="12"/>
  <c r="Q77" i="7"/>
  <c r="S77" i="7"/>
  <c r="F217" i="21"/>
  <c r="E40" i="25"/>
  <c r="C23" i="24"/>
  <c r="C23" i="23"/>
  <c r="B40" i="25"/>
  <c r="C204" i="7"/>
  <c r="C203" i="24"/>
  <c r="B41" i="25" s="1"/>
  <c r="C20" i="24"/>
  <c r="H19" i="24" s="1"/>
  <c r="C204" i="24"/>
  <c r="C203" i="23"/>
  <c r="C20" i="23"/>
  <c r="C204" i="23"/>
  <c r="N94" i="12" s="1"/>
  <c r="P179" i="23"/>
  <c r="C203" i="7"/>
  <c r="N93" i="12" s="1"/>
  <c r="F219" i="21"/>
  <c r="C204" i="21"/>
  <c r="E60" i="12" s="1"/>
  <c r="C20" i="21"/>
  <c r="H19" i="21" s="1"/>
  <c r="C203" i="21"/>
  <c r="E59" i="12" s="1"/>
  <c r="C23" i="21"/>
  <c r="C23" i="7"/>
  <c r="C20" i="7"/>
  <c r="H142" i="19" l="1"/>
  <c r="L142" i="19" s="1"/>
  <c r="P158" i="20"/>
  <c r="H19" i="7"/>
  <c r="H21" i="7" s="1"/>
  <c r="H22" i="7" s="1"/>
  <c r="H19" i="23"/>
  <c r="H21" i="23" s="1"/>
  <c r="H22" i="23" s="1"/>
  <c r="C114" i="7"/>
  <c r="F104" i="7" s="1"/>
  <c r="I104" i="7" s="1"/>
  <c r="G149" i="2"/>
  <c r="H78" i="12"/>
  <c r="I149" i="20"/>
  <c r="C114" i="21"/>
  <c r="C113" i="24"/>
  <c r="C113" i="21"/>
  <c r="E58" i="12"/>
  <c r="B39" i="11"/>
  <c r="E57" i="12" s="1"/>
  <c r="F218" i="7"/>
  <c r="K94" i="12"/>
  <c r="H93" i="12"/>
  <c r="H21" i="24"/>
  <c r="H22" i="24" s="1"/>
  <c r="H21" i="21"/>
  <c r="H22" i="21" s="1"/>
  <c r="K78" i="12"/>
  <c r="E78" i="12"/>
  <c r="F218" i="23"/>
  <c r="F218" i="24"/>
  <c r="B42" i="25"/>
  <c r="B39" i="25" s="1"/>
  <c r="C110" i="24"/>
  <c r="F19" i="24"/>
  <c r="C110" i="23"/>
  <c r="F19" i="23"/>
  <c r="F218" i="21"/>
  <c r="C110" i="21"/>
  <c r="F19" i="21"/>
  <c r="F32" i="21" s="1"/>
  <c r="G149" i="20"/>
  <c r="C110" i="7"/>
  <c r="H40" i="11" s="1"/>
  <c r="F19" i="7"/>
  <c r="Q162" i="7"/>
  <c r="J142" i="19" l="1"/>
  <c r="H168" i="19"/>
  <c r="C168" i="19"/>
  <c r="E117" i="19"/>
  <c r="H142" i="5"/>
  <c r="P159" i="2"/>
  <c r="F101" i="7"/>
  <c r="I101" i="7" s="1"/>
  <c r="K23" i="11"/>
  <c r="N43" i="12" s="1"/>
  <c r="G150" i="2"/>
  <c r="C115" i="7" s="1"/>
  <c r="C116" i="7" s="1"/>
  <c r="I151" i="2" s="1"/>
  <c r="C113" i="7"/>
  <c r="C113" i="23"/>
  <c r="H23" i="11"/>
  <c r="K43" i="12" s="1"/>
  <c r="E23" i="11"/>
  <c r="H43" i="12" s="1"/>
  <c r="B23" i="11"/>
  <c r="E43" i="12" s="1"/>
  <c r="F101" i="21"/>
  <c r="F104" i="21"/>
  <c r="L13" i="25"/>
  <c r="L13" i="11"/>
  <c r="C115" i="24"/>
  <c r="G150" i="20"/>
  <c r="F13" i="11"/>
  <c r="H23" i="7"/>
  <c r="I13" i="11"/>
  <c r="C13" i="11"/>
  <c r="F13" i="25"/>
  <c r="H24" i="24"/>
  <c r="I16" i="25" s="1"/>
  <c r="I15" i="25" s="1"/>
  <c r="I13" i="25"/>
  <c r="H24" i="21"/>
  <c r="C13" i="25"/>
  <c r="L14" i="25"/>
  <c r="H24" i="7"/>
  <c r="H24" i="23"/>
  <c r="F68" i="23" s="1"/>
  <c r="C14" i="25"/>
  <c r="I14" i="25"/>
  <c r="H23" i="24"/>
  <c r="F32" i="24"/>
  <c r="F31" i="24"/>
  <c r="F21" i="24"/>
  <c r="F22" i="24" s="1"/>
  <c r="B56" i="11"/>
  <c r="K40" i="25"/>
  <c r="K48" i="25"/>
  <c r="H40" i="25"/>
  <c r="N66" i="12"/>
  <c r="H48" i="25"/>
  <c r="K66" i="12"/>
  <c r="D114" i="11" s="1"/>
  <c r="K40" i="11"/>
  <c r="N58" i="12" s="1"/>
  <c r="K58" i="12"/>
  <c r="E48" i="25"/>
  <c r="H66" i="12"/>
  <c r="C114" i="11" s="1"/>
  <c r="I14" i="11"/>
  <c r="L36" i="12" s="1"/>
  <c r="C14" i="11"/>
  <c r="F36" i="12" s="1"/>
  <c r="C111" i="24"/>
  <c r="F32" i="23"/>
  <c r="F31" i="23"/>
  <c r="B24" i="11"/>
  <c r="E24" i="11"/>
  <c r="C117" i="7"/>
  <c r="C117" i="5" s="1"/>
  <c r="C140" i="5" s="1"/>
  <c r="R61" i="21"/>
  <c r="H23" i="21"/>
  <c r="H104" i="7"/>
  <c r="C115" i="21"/>
  <c r="I150" i="20" s="1"/>
  <c r="F21" i="21"/>
  <c r="F31" i="21"/>
  <c r="C111" i="21"/>
  <c r="C117" i="21"/>
  <c r="C117" i="19" s="1"/>
  <c r="M146" i="19" s="1"/>
  <c r="C122" i="21"/>
  <c r="C120" i="21"/>
  <c r="C121" i="21"/>
  <c r="F32" i="7"/>
  <c r="F21" i="7"/>
  <c r="F31" i="7"/>
  <c r="C140" i="19" l="1"/>
  <c r="E140" i="19" s="1"/>
  <c r="H164" i="19"/>
  <c r="C146" i="19"/>
  <c r="E146" i="19" s="1"/>
  <c r="H146" i="19"/>
  <c r="L146" i="19" s="1"/>
  <c r="C118" i="19"/>
  <c r="H140" i="19" s="1"/>
  <c r="H139" i="19" s="1"/>
  <c r="H164" i="5"/>
  <c r="M164" i="5" s="1"/>
  <c r="C115" i="23"/>
  <c r="H101" i="7"/>
  <c r="E117" i="5"/>
  <c r="H168" i="5"/>
  <c r="H9" i="26"/>
  <c r="P9" i="26"/>
  <c r="M240" i="20"/>
  <c r="J228" i="20"/>
  <c r="C118" i="5"/>
  <c r="H146" i="5"/>
  <c r="M146" i="5" s="1"/>
  <c r="C146" i="5"/>
  <c r="L142" i="5"/>
  <c r="M142" i="5"/>
  <c r="Q146" i="19"/>
  <c r="O146" i="19"/>
  <c r="F50" i="24"/>
  <c r="S51" i="24" s="1"/>
  <c r="C168" i="5"/>
  <c r="J142" i="5"/>
  <c r="C111" i="23"/>
  <c r="C122" i="7"/>
  <c r="C120" i="7"/>
  <c r="C121" i="7"/>
  <c r="M202" i="2" s="1"/>
  <c r="G108" i="23" s="1"/>
  <c r="F50" i="23"/>
  <c r="C111" i="7"/>
  <c r="F16" i="11"/>
  <c r="I37" i="12" s="1"/>
  <c r="L16" i="11"/>
  <c r="O37" i="12" s="1"/>
  <c r="F68" i="7"/>
  <c r="Q61" i="7" s="1"/>
  <c r="G151" i="2"/>
  <c r="E13" i="11"/>
  <c r="K13" i="11"/>
  <c r="F22" i="21"/>
  <c r="H13" i="11"/>
  <c r="B13" i="11"/>
  <c r="F22" i="7"/>
  <c r="S61" i="7"/>
  <c r="H104" i="21"/>
  <c r="V104" i="21" s="1"/>
  <c r="I104" i="21"/>
  <c r="I101" i="21"/>
  <c r="H101" i="21"/>
  <c r="V101" i="21" s="1"/>
  <c r="L12" i="25"/>
  <c r="S61" i="23"/>
  <c r="Q61" i="23"/>
  <c r="K24" i="25"/>
  <c r="R107" i="7"/>
  <c r="F50" i="7"/>
  <c r="F50" i="21"/>
  <c r="F14" i="25"/>
  <c r="F12" i="25" s="1"/>
  <c r="L16" i="25"/>
  <c r="L14" i="11"/>
  <c r="F14" i="11"/>
  <c r="P156" i="20"/>
  <c r="F136" i="21" s="1"/>
  <c r="G136" i="21" s="1"/>
  <c r="P144" i="20"/>
  <c r="F177" i="21" s="1"/>
  <c r="P177" i="21" s="1"/>
  <c r="P143" i="20"/>
  <c r="M200" i="20"/>
  <c r="G107" i="24" s="1"/>
  <c r="M204" i="20"/>
  <c r="G111" i="24" s="1"/>
  <c r="M208" i="20"/>
  <c r="G115" i="24" s="1"/>
  <c r="M213" i="20"/>
  <c r="G119" i="24" s="1"/>
  <c r="M217" i="20"/>
  <c r="G123" i="24" s="1"/>
  <c r="M198" i="20"/>
  <c r="G105" i="24" s="1"/>
  <c r="M195" i="20"/>
  <c r="G102" i="24" s="1"/>
  <c r="M203" i="20"/>
  <c r="G110" i="24" s="1"/>
  <c r="M212" i="20"/>
  <c r="G118" i="24" s="1"/>
  <c r="M216" i="20"/>
  <c r="G122" i="24" s="1"/>
  <c r="M193" i="20"/>
  <c r="G100" i="24" s="1"/>
  <c r="M201" i="20"/>
  <c r="G108" i="24" s="1"/>
  <c r="M205" i="20"/>
  <c r="G112" i="24" s="1"/>
  <c r="M209" i="20"/>
  <c r="G116" i="24" s="1"/>
  <c r="M214" i="20"/>
  <c r="G120" i="24" s="1"/>
  <c r="M218" i="20"/>
  <c r="G124" i="24" s="1"/>
  <c r="M196" i="20"/>
  <c r="G103" i="24" s="1"/>
  <c r="M202" i="20"/>
  <c r="G109" i="24" s="1"/>
  <c r="M206" i="20"/>
  <c r="G113" i="24" s="1"/>
  <c r="M211" i="20"/>
  <c r="G117" i="24" s="1"/>
  <c r="M215" i="20"/>
  <c r="G121" i="24" s="1"/>
  <c r="M219" i="20"/>
  <c r="G125" i="24" s="1"/>
  <c r="M199" i="20"/>
  <c r="G106" i="24" s="1"/>
  <c r="M207" i="20"/>
  <c r="G114" i="24" s="1"/>
  <c r="M220" i="20"/>
  <c r="J220" i="20"/>
  <c r="F126" i="21" s="1"/>
  <c r="J193" i="20"/>
  <c r="F100" i="21" s="1"/>
  <c r="J198" i="20"/>
  <c r="F105" i="21" s="1"/>
  <c r="J215" i="20"/>
  <c r="F121" i="21" s="1"/>
  <c r="F68" i="24"/>
  <c r="Q61" i="24" s="1"/>
  <c r="Q65" i="24" s="1"/>
  <c r="I12" i="25"/>
  <c r="R61" i="7"/>
  <c r="C12" i="25"/>
  <c r="F16" i="25"/>
  <c r="F15" i="25" s="1"/>
  <c r="L15" i="25" s="1"/>
  <c r="C16" i="25"/>
  <c r="C15" i="25" s="1"/>
  <c r="H23" i="23"/>
  <c r="R113" i="7"/>
  <c r="S113" i="7"/>
  <c r="R115" i="7"/>
  <c r="S115" i="7"/>
  <c r="R105" i="7"/>
  <c r="R117" i="7"/>
  <c r="S117" i="7"/>
  <c r="S111" i="7"/>
  <c r="R109" i="7"/>
  <c r="C118" i="21"/>
  <c r="I12" i="11"/>
  <c r="C12" i="11"/>
  <c r="F35" i="12" s="1"/>
  <c r="K24" i="11"/>
  <c r="H24" i="25"/>
  <c r="C118" i="7"/>
  <c r="F30" i="21"/>
  <c r="F24" i="24"/>
  <c r="B13" i="25"/>
  <c r="H13" i="25"/>
  <c r="F30" i="24"/>
  <c r="F30" i="23"/>
  <c r="R61" i="23"/>
  <c r="R108" i="7"/>
  <c r="R121" i="7"/>
  <c r="R124" i="7"/>
  <c r="R118" i="7"/>
  <c r="Q142" i="7"/>
  <c r="R120" i="7"/>
  <c r="P162" i="21"/>
  <c r="C116" i="21"/>
  <c r="F99" i="21"/>
  <c r="G99" i="21"/>
  <c r="F24" i="21"/>
  <c r="F30" i="7"/>
  <c r="F24" i="7"/>
  <c r="H24" i="11"/>
  <c r="K16" i="11" l="1"/>
  <c r="K17" i="11"/>
  <c r="E17" i="11"/>
  <c r="H144" i="19"/>
  <c r="H148" i="19" s="1"/>
  <c r="M154" i="19"/>
  <c r="Q154" i="19" s="1"/>
  <c r="H160" i="19"/>
  <c r="L160" i="19" s="1"/>
  <c r="C156" i="19"/>
  <c r="G156" i="19" s="1"/>
  <c r="L140" i="19"/>
  <c r="C153" i="19"/>
  <c r="G153" i="19" s="1"/>
  <c r="H157" i="19"/>
  <c r="L157" i="19" s="1"/>
  <c r="H159" i="19"/>
  <c r="L159" i="19" s="1"/>
  <c r="M143" i="19"/>
  <c r="O143" i="19" s="1"/>
  <c r="J140" i="19"/>
  <c r="C143" i="19"/>
  <c r="G143" i="19" s="1"/>
  <c r="M140" i="19"/>
  <c r="M139" i="19" s="1"/>
  <c r="Q139" i="19" s="1"/>
  <c r="M144" i="19"/>
  <c r="M164" i="19" s="1"/>
  <c r="Q164" i="19" s="1"/>
  <c r="C145" i="19"/>
  <c r="J201" i="20" s="1"/>
  <c r="F108" i="21" s="1"/>
  <c r="H156" i="19"/>
  <c r="L156" i="19" s="1"/>
  <c r="H145" i="19"/>
  <c r="L145" i="19" s="1"/>
  <c r="J146" i="19"/>
  <c r="G146" i="19"/>
  <c r="H154" i="19"/>
  <c r="I168" i="19" s="1"/>
  <c r="C119" i="19"/>
  <c r="E121" i="19"/>
  <c r="M145" i="19"/>
  <c r="Q145" i="19" s="1"/>
  <c r="H143" i="19"/>
  <c r="J143" i="19" s="1"/>
  <c r="J164" i="19"/>
  <c r="L164" i="19"/>
  <c r="J164" i="5"/>
  <c r="L164" i="5"/>
  <c r="C143" i="5"/>
  <c r="E143" i="5" s="1"/>
  <c r="C139" i="5"/>
  <c r="L144" i="19"/>
  <c r="H140" i="5"/>
  <c r="H159" i="5" s="1"/>
  <c r="J144" i="19"/>
  <c r="C119" i="5"/>
  <c r="H144" i="5"/>
  <c r="M144" i="5" s="1"/>
  <c r="H143" i="5"/>
  <c r="M143" i="5" s="1"/>
  <c r="Q143" i="5" s="1"/>
  <c r="O164" i="5"/>
  <c r="M159" i="19"/>
  <c r="Q159" i="19" s="1"/>
  <c r="F99" i="7"/>
  <c r="P24" i="26"/>
  <c r="H24" i="26"/>
  <c r="G140" i="19"/>
  <c r="C157" i="19"/>
  <c r="E157" i="19" s="1"/>
  <c r="C139" i="19"/>
  <c r="E139" i="19" s="1"/>
  <c r="C160" i="19"/>
  <c r="E160" i="19" s="1"/>
  <c r="C159" i="19"/>
  <c r="E159" i="19" s="1"/>
  <c r="F162" i="24"/>
  <c r="F162" i="21"/>
  <c r="M213" i="2"/>
  <c r="G118" i="23" s="1"/>
  <c r="M209" i="2"/>
  <c r="G115" i="7" s="1"/>
  <c r="M208" i="2"/>
  <c r="G114" i="7" s="1"/>
  <c r="E146" i="5"/>
  <c r="G146" i="5"/>
  <c r="J229" i="2"/>
  <c r="J211" i="2"/>
  <c r="F127" i="7" s="1"/>
  <c r="H153" i="5" s="1"/>
  <c r="M241" i="2"/>
  <c r="C160" i="5"/>
  <c r="C157" i="5"/>
  <c r="M200" i="2"/>
  <c r="G106" i="7" s="1"/>
  <c r="M196" i="2"/>
  <c r="G102" i="7" s="1"/>
  <c r="M216" i="2"/>
  <c r="G121" i="7" s="1"/>
  <c r="O142" i="5"/>
  <c r="Q142" i="5"/>
  <c r="H156" i="5"/>
  <c r="H145" i="5"/>
  <c r="C156" i="5"/>
  <c r="C145" i="5"/>
  <c r="H154" i="5"/>
  <c r="C153" i="5"/>
  <c r="H167" i="5" s="1"/>
  <c r="J148" i="19"/>
  <c r="L148" i="19"/>
  <c r="L151" i="19"/>
  <c r="J151" i="19"/>
  <c r="J150" i="19"/>
  <c r="L150" i="19"/>
  <c r="J152" i="19"/>
  <c r="L152" i="19"/>
  <c r="J139" i="19"/>
  <c r="L139" i="19"/>
  <c r="J149" i="19"/>
  <c r="L149" i="19"/>
  <c r="M219" i="2"/>
  <c r="G124" i="7" s="1"/>
  <c r="M214" i="2"/>
  <c r="G119" i="7" s="1"/>
  <c r="M212" i="2"/>
  <c r="G117" i="7" s="1"/>
  <c r="M203" i="2"/>
  <c r="G109" i="7" s="1"/>
  <c r="M194" i="2"/>
  <c r="G100" i="7" s="1"/>
  <c r="M221" i="2"/>
  <c r="G126" i="7" s="1"/>
  <c r="M204" i="2"/>
  <c r="G110" i="7" s="1"/>
  <c r="M205" i="2"/>
  <c r="G111" i="7" s="1"/>
  <c r="M217" i="2"/>
  <c r="G122" i="7" s="1"/>
  <c r="G108" i="7"/>
  <c r="M207" i="2"/>
  <c r="G113" i="23" s="1"/>
  <c r="M206" i="2"/>
  <c r="G112" i="7" s="1"/>
  <c r="M201" i="2"/>
  <c r="G107" i="7" s="1"/>
  <c r="M220" i="2"/>
  <c r="G125" i="7" s="1"/>
  <c r="M197" i="2"/>
  <c r="G103" i="7" s="1"/>
  <c r="J216" i="2"/>
  <c r="F121" i="7" s="1"/>
  <c r="J194" i="2"/>
  <c r="F100" i="7" s="1"/>
  <c r="P157" i="2"/>
  <c r="F136" i="23" s="1"/>
  <c r="J221" i="2"/>
  <c r="F126" i="7" s="1"/>
  <c r="Q164" i="5"/>
  <c r="P144" i="2"/>
  <c r="P145" i="2"/>
  <c r="J199" i="2"/>
  <c r="F105" i="7" s="1"/>
  <c r="M218" i="2"/>
  <c r="G123" i="7" s="1"/>
  <c r="M199" i="2"/>
  <c r="G105" i="7" s="1"/>
  <c r="M215" i="2"/>
  <c r="G120" i="7" s="1"/>
  <c r="M210" i="2"/>
  <c r="G116" i="23" s="1"/>
  <c r="G99" i="7"/>
  <c r="J202" i="20"/>
  <c r="F109" i="21" s="1"/>
  <c r="H17" i="25"/>
  <c r="B17" i="25"/>
  <c r="L35" i="12"/>
  <c r="J196" i="20"/>
  <c r="F103" i="21" s="1"/>
  <c r="J203" i="2"/>
  <c r="F109" i="7" s="1"/>
  <c r="E168" i="19"/>
  <c r="J200" i="20"/>
  <c r="F107" i="21" s="1"/>
  <c r="Q162" i="21"/>
  <c r="H49" i="12"/>
  <c r="E49" i="12"/>
  <c r="S51" i="23"/>
  <c r="Q53" i="23"/>
  <c r="R61" i="24"/>
  <c r="S61" i="24"/>
  <c r="R107" i="21"/>
  <c r="L12" i="11"/>
  <c r="O35" i="12" s="1"/>
  <c r="O36" i="12"/>
  <c r="F12" i="11"/>
  <c r="I35" i="12" s="1"/>
  <c r="I36" i="12"/>
  <c r="F15" i="11"/>
  <c r="F177" i="24"/>
  <c r="P177" i="24" s="1"/>
  <c r="S121" i="7"/>
  <c r="S126" i="7"/>
  <c r="R114" i="7"/>
  <c r="S114" i="7"/>
  <c r="R122" i="7"/>
  <c r="R119" i="7"/>
  <c r="R123" i="7"/>
  <c r="F136" i="24"/>
  <c r="S51" i="21"/>
  <c r="G126" i="24"/>
  <c r="G126" i="21"/>
  <c r="H126" i="21" s="1"/>
  <c r="R106" i="7"/>
  <c r="J147" i="21"/>
  <c r="E28" i="11"/>
  <c r="B28" i="11"/>
  <c r="S51" i="7"/>
  <c r="Q51" i="23"/>
  <c r="R51" i="24"/>
  <c r="H68" i="24"/>
  <c r="B16" i="25"/>
  <c r="G68" i="24"/>
  <c r="S62" i="24" s="1"/>
  <c r="H16" i="25"/>
  <c r="F18" i="24"/>
  <c r="I68" i="24" s="1"/>
  <c r="F220" i="24"/>
  <c r="B14" i="25"/>
  <c r="B12" i="25" s="1"/>
  <c r="H6" i="26" s="1"/>
  <c r="H14" i="25"/>
  <c r="H12" i="25" s="1"/>
  <c r="F23" i="24"/>
  <c r="G108" i="21"/>
  <c r="G115" i="21"/>
  <c r="G100" i="21"/>
  <c r="H100" i="21" s="1"/>
  <c r="G103" i="21"/>
  <c r="G111" i="21"/>
  <c r="G114" i="21"/>
  <c r="G121" i="21"/>
  <c r="H121" i="21" s="1"/>
  <c r="G116" i="21"/>
  <c r="G123" i="21"/>
  <c r="G110" i="21"/>
  <c r="G112" i="21"/>
  <c r="G119" i="21"/>
  <c r="G122" i="21"/>
  <c r="G124" i="21"/>
  <c r="G118" i="21"/>
  <c r="G109" i="21"/>
  <c r="G120" i="21"/>
  <c r="G105" i="21"/>
  <c r="H105" i="21" s="1"/>
  <c r="G107" i="21"/>
  <c r="G117" i="21"/>
  <c r="G125" i="21"/>
  <c r="G102" i="21"/>
  <c r="G106" i="21"/>
  <c r="G113" i="21"/>
  <c r="B14" i="11"/>
  <c r="E36" i="12" s="1"/>
  <c r="H14" i="11"/>
  <c r="K36" i="12" s="1"/>
  <c r="E14" i="11"/>
  <c r="H36" i="12" s="1"/>
  <c r="K14" i="11"/>
  <c r="K12" i="11" s="1"/>
  <c r="S63" i="7"/>
  <c r="S62" i="7"/>
  <c r="F23" i="21"/>
  <c r="F40" i="21" s="1"/>
  <c r="G74" i="21" s="1"/>
  <c r="P164" i="21"/>
  <c r="P165" i="21" s="1"/>
  <c r="R51" i="7"/>
  <c r="Q51" i="7"/>
  <c r="F18" i="21"/>
  <c r="F220" i="21"/>
  <c r="R51" i="21"/>
  <c r="J207" i="20"/>
  <c r="F114" i="21" s="1"/>
  <c r="J206" i="20"/>
  <c r="J205" i="20"/>
  <c r="F112" i="21" s="1"/>
  <c r="J213" i="2"/>
  <c r="F118" i="7" s="1"/>
  <c r="F23" i="7"/>
  <c r="F40" i="7" s="1"/>
  <c r="L146" i="5"/>
  <c r="J146" i="5"/>
  <c r="J209" i="2"/>
  <c r="Q146" i="5"/>
  <c r="O146" i="5"/>
  <c r="F18" i="7"/>
  <c r="F220" i="7"/>
  <c r="J159" i="19" l="1"/>
  <c r="J160" i="19"/>
  <c r="O139" i="19"/>
  <c r="M157" i="19"/>
  <c r="O157" i="19" s="1"/>
  <c r="F209" i="7"/>
  <c r="F209" i="23" s="1"/>
  <c r="F219" i="23" s="1"/>
  <c r="J168" i="19"/>
  <c r="O154" i="19"/>
  <c r="Q144" i="19"/>
  <c r="M149" i="19"/>
  <c r="Q149" i="19" s="1"/>
  <c r="J200" i="2"/>
  <c r="F106" i="7" s="1"/>
  <c r="H106" i="7" s="1"/>
  <c r="I106" i="7" s="1"/>
  <c r="G143" i="5"/>
  <c r="Q143" i="19"/>
  <c r="M152" i="19"/>
  <c r="O152" i="19" s="1"/>
  <c r="O164" i="19"/>
  <c r="M155" i="19"/>
  <c r="O155" i="19" s="1"/>
  <c r="O140" i="19"/>
  <c r="M140" i="5"/>
  <c r="O140" i="5" s="1"/>
  <c r="Q140" i="19"/>
  <c r="E156" i="19"/>
  <c r="C167" i="19"/>
  <c r="E153" i="19"/>
  <c r="H108" i="21"/>
  <c r="V108" i="21" s="1"/>
  <c r="J145" i="19"/>
  <c r="M160" i="19"/>
  <c r="O160" i="19" s="1"/>
  <c r="C162" i="19"/>
  <c r="G162" i="19" s="1"/>
  <c r="G145" i="19"/>
  <c r="H167" i="19"/>
  <c r="H169" i="19" s="1"/>
  <c r="H171" i="19" s="1"/>
  <c r="J213" i="20"/>
  <c r="F119" i="21" s="1"/>
  <c r="H119" i="21" s="1"/>
  <c r="V119" i="21" s="1"/>
  <c r="E145" i="19"/>
  <c r="J156" i="19"/>
  <c r="J157" i="19"/>
  <c r="J154" i="19"/>
  <c r="D168" i="19"/>
  <c r="J199" i="20"/>
  <c r="F106" i="21" s="1"/>
  <c r="H106" i="21" s="1"/>
  <c r="V106" i="21" s="1"/>
  <c r="E143" i="19"/>
  <c r="O144" i="19"/>
  <c r="M148" i="19"/>
  <c r="J204" i="20" s="1"/>
  <c r="F111" i="21" s="1"/>
  <c r="H111" i="21" s="1"/>
  <c r="L143" i="19"/>
  <c r="M151" i="19"/>
  <c r="Q151" i="19" s="1"/>
  <c r="M150" i="19"/>
  <c r="O150" i="19" s="1"/>
  <c r="L154" i="19"/>
  <c r="O145" i="19"/>
  <c r="G74" i="7"/>
  <c r="E140" i="5"/>
  <c r="J197" i="2"/>
  <c r="F103" i="7" s="1"/>
  <c r="H103" i="7" s="1"/>
  <c r="I103" i="7" s="1"/>
  <c r="Q103" i="7" s="1"/>
  <c r="J144" i="5"/>
  <c r="G140" i="5"/>
  <c r="G160" i="19"/>
  <c r="C159" i="5"/>
  <c r="G159" i="5" s="1"/>
  <c r="J201" i="2"/>
  <c r="F107" i="7" s="1"/>
  <c r="H107" i="7" s="1"/>
  <c r="I107" i="7" s="1"/>
  <c r="Q107" i="7" s="1"/>
  <c r="Q144" i="5"/>
  <c r="O144" i="5"/>
  <c r="H148" i="5"/>
  <c r="L148" i="5" s="1"/>
  <c r="L144" i="5"/>
  <c r="L140" i="5"/>
  <c r="J140" i="5"/>
  <c r="H139" i="5"/>
  <c r="M139" i="5" s="1"/>
  <c r="O139" i="5" s="1"/>
  <c r="H157" i="5"/>
  <c r="L157" i="5" s="1"/>
  <c r="O143" i="5"/>
  <c r="J143" i="5"/>
  <c r="H160" i="5"/>
  <c r="M160" i="5" s="1"/>
  <c r="L143" i="5"/>
  <c r="I167" i="5"/>
  <c r="D173" i="5"/>
  <c r="G159" i="19"/>
  <c r="D167" i="5"/>
  <c r="J216" i="20"/>
  <c r="F122" i="21" s="1"/>
  <c r="H122" i="21" s="1"/>
  <c r="V122" i="21" s="1"/>
  <c r="G157" i="19"/>
  <c r="O159" i="19"/>
  <c r="G114" i="23"/>
  <c r="J214" i="20"/>
  <c r="F120" i="21" s="1"/>
  <c r="H120" i="21" s="1"/>
  <c r="V120" i="21" s="1"/>
  <c r="M154" i="5"/>
  <c r="I168" i="5"/>
  <c r="G102" i="23"/>
  <c r="H169" i="5"/>
  <c r="H171" i="5" s="1"/>
  <c r="J217" i="20"/>
  <c r="F123" i="21" s="1"/>
  <c r="H123" i="21" s="1"/>
  <c r="G118" i="7"/>
  <c r="H118" i="7" s="1"/>
  <c r="I118" i="7" s="1"/>
  <c r="G115" i="23"/>
  <c r="H127" i="7"/>
  <c r="G109" i="23"/>
  <c r="G106" i="23"/>
  <c r="G139" i="19"/>
  <c r="J212" i="20"/>
  <c r="F118" i="21" s="1"/>
  <c r="H118" i="21" s="1"/>
  <c r="G121" i="23"/>
  <c r="G117" i="23"/>
  <c r="H121" i="7"/>
  <c r="I121" i="7" s="1"/>
  <c r="Q121" i="7" s="1"/>
  <c r="F162" i="23"/>
  <c r="F162" i="7"/>
  <c r="M156" i="5"/>
  <c r="J156" i="5"/>
  <c r="L156" i="5"/>
  <c r="G157" i="5"/>
  <c r="E157" i="5"/>
  <c r="G145" i="5"/>
  <c r="E145" i="5"/>
  <c r="H162" i="5"/>
  <c r="E160" i="5"/>
  <c r="G160" i="5"/>
  <c r="E156" i="5"/>
  <c r="G156" i="5"/>
  <c r="C162" i="5"/>
  <c r="M145" i="5"/>
  <c r="J145" i="5"/>
  <c r="L145" i="5"/>
  <c r="M159" i="5"/>
  <c r="L159" i="5"/>
  <c r="J159" i="5"/>
  <c r="G124" i="23"/>
  <c r="J214" i="2"/>
  <c r="F119" i="7" s="1"/>
  <c r="H119" i="7" s="1"/>
  <c r="I119" i="7" s="1"/>
  <c r="Q119" i="7" s="1"/>
  <c r="G100" i="23"/>
  <c r="G107" i="23"/>
  <c r="J215" i="2"/>
  <c r="F120" i="7" s="1"/>
  <c r="H120" i="7" s="1"/>
  <c r="I120" i="7" s="1"/>
  <c r="Q120" i="7" s="1"/>
  <c r="J212" i="2"/>
  <c r="F117" i="7" s="1"/>
  <c r="H117" i="7" s="1"/>
  <c r="I117" i="7" s="1"/>
  <c r="Q117" i="7" s="1"/>
  <c r="G119" i="23"/>
  <c r="H109" i="7"/>
  <c r="I109" i="7" s="1"/>
  <c r="Q109" i="7" s="1"/>
  <c r="G122" i="23"/>
  <c r="H100" i="7"/>
  <c r="I100" i="7" s="1"/>
  <c r="G103" i="23"/>
  <c r="G110" i="23"/>
  <c r="H126" i="7"/>
  <c r="I126" i="7" s="1"/>
  <c r="G126" i="23"/>
  <c r="G125" i="23"/>
  <c r="F136" i="7"/>
  <c r="G136" i="7" s="1"/>
  <c r="N49" i="12" s="1"/>
  <c r="G111" i="23"/>
  <c r="J208" i="2"/>
  <c r="F114" i="7" s="1"/>
  <c r="H114" i="7" s="1"/>
  <c r="I114" i="7" s="1"/>
  <c r="Q114" i="7" s="1"/>
  <c r="G113" i="7"/>
  <c r="G112" i="23"/>
  <c r="G116" i="7"/>
  <c r="F177" i="23"/>
  <c r="P177" i="23" s="1"/>
  <c r="F177" i="7"/>
  <c r="P177" i="7" s="1"/>
  <c r="J210" i="20"/>
  <c r="F127" i="21" s="1"/>
  <c r="H105" i="7"/>
  <c r="I105" i="7" s="1"/>
  <c r="Q105" i="7" s="1"/>
  <c r="G105" i="23"/>
  <c r="G123" i="23"/>
  <c r="G120" i="23"/>
  <c r="H109" i="21"/>
  <c r="V109" i="21" s="1"/>
  <c r="H18" i="11"/>
  <c r="B18" i="11"/>
  <c r="E39" i="12" s="1"/>
  <c r="I68" i="21"/>
  <c r="K18" i="11"/>
  <c r="N39" i="12" s="1"/>
  <c r="E18" i="11"/>
  <c r="I68" i="7"/>
  <c r="J208" i="20"/>
  <c r="F115" i="21" s="1"/>
  <c r="H115" i="21" s="1"/>
  <c r="S122" i="7"/>
  <c r="S108" i="7"/>
  <c r="H21" i="26"/>
  <c r="S120" i="7"/>
  <c r="S107" i="7"/>
  <c r="S105" i="7"/>
  <c r="S109" i="7"/>
  <c r="H103" i="21"/>
  <c r="V103" i="21" s="1"/>
  <c r="J196" i="2"/>
  <c r="F102" i="7" s="1"/>
  <c r="J207" i="2"/>
  <c r="F113" i="7" s="1"/>
  <c r="I121" i="21"/>
  <c r="S121" i="21" s="1"/>
  <c r="V121" i="21"/>
  <c r="I100" i="21"/>
  <c r="V100" i="21"/>
  <c r="I105" i="21"/>
  <c r="S105" i="21" s="1"/>
  <c r="V105" i="21"/>
  <c r="I126" i="21"/>
  <c r="S126" i="21" s="1"/>
  <c r="V126" i="21"/>
  <c r="I108" i="21"/>
  <c r="S108" i="21" s="1"/>
  <c r="F115" i="7"/>
  <c r="H115" i="7" s="1"/>
  <c r="I115" i="7" s="1"/>
  <c r="Q115" i="7" s="1"/>
  <c r="P153" i="20"/>
  <c r="F113" i="21"/>
  <c r="H113" i="21" s="1"/>
  <c r="H107" i="21"/>
  <c r="V107" i="21" s="1"/>
  <c r="J195" i="20"/>
  <c r="F102" i="21" s="1"/>
  <c r="F153" i="21" s="1"/>
  <c r="R153" i="21" s="1"/>
  <c r="J211" i="20"/>
  <c r="F117" i="21" s="1"/>
  <c r="H117" i="21" s="1"/>
  <c r="J206" i="2"/>
  <c r="F112" i="7" s="1"/>
  <c r="P142" i="20"/>
  <c r="J209" i="20"/>
  <c r="F116" i="21" s="1"/>
  <c r="H116" i="21" s="1"/>
  <c r="H112" i="21"/>
  <c r="H114" i="21"/>
  <c r="B18" i="25"/>
  <c r="B15" i="25" s="1"/>
  <c r="H18" i="25"/>
  <c r="H15" i="25" s="1"/>
  <c r="P142" i="21"/>
  <c r="R142" i="21"/>
  <c r="Q162" i="24"/>
  <c r="S62" i="23"/>
  <c r="H96" i="12"/>
  <c r="R142" i="7"/>
  <c r="R162" i="7"/>
  <c r="Q153" i="21"/>
  <c r="R124" i="21"/>
  <c r="R120" i="21"/>
  <c r="R122" i="21"/>
  <c r="R123" i="21"/>
  <c r="R108" i="21"/>
  <c r="R125" i="21"/>
  <c r="R106" i="21"/>
  <c r="R119" i="21"/>
  <c r="R116" i="21"/>
  <c r="R103" i="21"/>
  <c r="R121" i="21"/>
  <c r="R63" i="24"/>
  <c r="S63" i="24"/>
  <c r="S42" i="23"/>
  <c r="R63" i="23"/>
  <c r="S63" i="23"/>
  <c r="L15" i="11"/>
  <c r="F42" i="24"/>
  <c r="F40" i="24"/>
  <c r="O21" i="26"/>
  <c r="N36" i="12"/>
  <c r="F41" i="7"/>
  <c r="F42" i="7"/>
  <c r="H12" i="11"/>
  <c r="E12" i="11"/>
  <c r="R126" i="21"/>
  <c r="R62" i="23"/>
  <c r="R62" i="24"/>
  <c r="F41" i="24"/>
  <c r="G75" i="24" s="1"/>
  <c r="R100" i="24"/>
  <c r="F41" i="21"/>
  <c r="F42" i="21"/>
  <c r="H40" i="21"/>
  <c r="B12" i="11"/>
  <c r="G6" i="26" s="1"/>
  <c r="Q62" i="21"/>
  <c r="R62" i="21"/>
  <c r="R62" i="7"/>
  <c r="R63" i="7"/>
  <c r="Q63" i="21"/>
  <c r="R63" i="21"/>
  <c r="Q64" i="21"/>
  <c r="L153" i="5"/>
  <c r="J153" i="5"/>
  <c r="L152" i="5"/>
  <c r="J152" i="5"/>
  <c r="J154" i="5"/>
  <c r="D168" i="5"/>
  <c r="L154" i="5"/>
  <c r="J150" i="5"/>
  <c r="L150" i="5"/>
  <c r="Q155" i="5"/>
  <c r="O155" i="5"/>
  <c r="O151" i="5"/>
  <c r="Q151" i="5"/>
  <c r="E139" i="5"/>
  <c r="G139" i="5"/>
  <c r="L149" i="5"/>
  <c r="J149" i="5"/>
  <c r="L151" i="5"/>
  <c r="J151" i="5"/>
  <c r="Q149" i="5"/>
  <c r="O149" i="5"/>
  <c r="O152" i="5"/>
  <c r="Q152" i="5"/>
  <c r="O150" i="5"/>
  <c r="Q150" i="5"/>
  <c r="E153" i="5"/>
  <c r="G153" i="5"/>
  <c r="Q157" i="19" l="1"/>
  <c r="O149" i="19"/>
  <c r="F219" i="7"/>
  <c r="Q152" i="19"/>
  <c r="E162" i="19"/>
  <c r="J219" i="20"/>
  <c r="F125" i="21" s="1"/>
  <c r="H125" i="21" s="1"/>
  <c r="V125" i="21" s="1"/>
  <c r="Q140" i="5"/>
  <c r="G76" i="21"/>
  <c r="H42" i="21"/>
  <c r="Q155" i="19"/>
  <c r="I119" i="21"/>
  <c r="S119" i="21" s="1"/>
  <c r="J114" i="2"/>
  <c r="F54" i="7" s="1"/>
  <c r="H68" i="7"/>
  <c r="Q63" i="7" s="1"/>
  <c r="E16" i="11"/>
  <c r="H37" i="12" s="1"/>
  <c r="G68" i="7"/>
  <c r="Q62" i="7" s="1"/>
  <c r="P143" i="2"/>
  <c r="S119" i="7"/>
  <c r="E159" i="5"/>
  <c r="M157" i="5"/>
  <c r="O157" i="5" s="1"/>
  <c r="Q160" i="19"/>
  <c r="Q106" i="7"/>
  <c r="S106" i="7"/>
  <c r="Q148" i="19"/>
  <c r="O148" i="19"/>
  <c r="J167" i="19"/>
  <c r="M147" i="19"/>
  <c r="O147" i="19" s="1"/>
  <c r="O151" i="19"/>
  <c r="Q150" i="19"/>
  <c r="G74" i="24"/>
  <c r="J113" i="20"/>
  <c r="Q126" i="7"/>
  <c r="R126" i="7"/>
  <c r="J157" i="5"/>
  <c r="I122" i="21"/>
  <c r="S122" i="21" s="1"/>
  <c r="Q139" i="5"/>
  <c r="J148" i="5"/>
  <c r="J160" i="5"/>
  <c r="L160" i="5"/>
  <c r="L139" i="5"/>
  <c r="J139" i="5"/>
  <c r="M148" i="5"/>
  <c r="J205" i="2"/>
  <c r="F111" i="7" s="1"/>
  <c r="H111" i="7" s="1"/>
  <c r="I111" i="7" s="1"/>
  <c r="Q111" i="7" s="1"/>
  <c r="H42" i="24"/>
  <c r="K42" i="24" s="1"/>
  <c r="F54" i="24"/>
  <c r="G76" i="24"/>
  <c r="H41" i="21"/>
  <c r="K41" i="21" s="1"/>
  <c r="Q41" i="21" s="1"/>
  <c r="G75" i="21"/>
  <c r="G76" i="7"/>
  <c r="G75" i="7"/>
  <c r="I169" i="5"/>
  <c r="I171" i="5" s="1"/>
  <c r="H127" i="21"/>
  <c r="V127" i="21" s="1"/>
  <c r="H153" i="19"/>
  <c r="D173" i="19" s="1"/>
  <c r="E124" i="5"/>
  <c r="C124" i="5"/>
  <c r="C167" i="5" s="1"/>
  <c r="C169" i="5" s="1"/>
  <c r="V123" i="21"/>
  <c r="I123" i="21"/>
  <c r="S123" i="21" s="1"/>
  <c r="P154" i="2"/>
  <c r="I120" i="21"/>
  <c r="S120" i="21" s="1"/>
  <c r="E168" i="5"/>
  <c r="Q154" i="5"/>
  <c r="O154" i="5"/>
  <c r="J168" i="5"/>
  <c r="I106" i="21"/>
  <c r="S106" i="21" s="1"/>
  <c r="M153" i="5"/>
  <c r="O160" i="5"/>
  <c r="Q160" i="5"/>
  <c r="J218" i="2"/>
  <c r="F123" i="7" s="1"/>
  <c r="H123" i="7" s="1"/>
  <c r="I123" i="7" s="1"/>
  <c r="O159" i="5"/>
  <c r="Q159" i="5"/>
  <c r="J217" i="2"/>
  <c r="F122" i="7" s="1"/>
  <c r="H122" i="7" s="1"/>
  <c r="I122" i="7" s="1"/>
  <c r="Q122" i="7" s="1"/>
  <c r="M162" i="5"/>
  <c r="L162" i="5"/>
  <c r="J162" i="5"/>
  <c r="O145" i="5"/>
  <c r="Q145" i="5"/>
  <c r="J202" i="2"/>
  <c r="F108" i="7" s="1"/>
  <c r="H108" i="7" s="1"/>
  <c r="I108" i="7" s="1"/>
  <c r="Q108" i="7" s="1"/>
  <c r="O156" i="5"/>
  <c r="Q156" i="5"/>
  <c r="J147" i="7"/>
  <c r="P142" i="7" s="1"/>
  <c r="I107" i="21"/>
  <c r="S107" i="21" s="1"/>
  <c r="I109" i="21"/>
  <c r="S109" i="21" s="1"/>
  <c r="K49" i="12"/>
  <c r="K28" i="11"/>
  <c r="H28" i="11"/>
  <c r="H113" i="7"/>
  <c r="I113" i="7" s="1"/>
  <c r="Q113" i="7" s="1"/>
  <c r="F153" i="7"/>
  <c r="H41" i="7"/>
  <c r="K41" i="7" s="1"/>
  <c r="R41" i="7" s="1"/>
  <c r="H17" i="11"/>
  <c r="K38" i="12" s="1"/>
  <c r="H68" i="21"/>
  <c r="S63" i="21" s="1"/>
  <c r="G68" i="21"/>
  <c r="B16" i="11"/>
  <c r="F68" i="21"/>
  <c r="I16" i="11"/>
  <c r="I15" i="11" s="1"/>
  <c r="C16" i="11"/>
  <c r="B17" i="11"/>
  <c r="E38" i="12" s="1"/>
  <c r="H16" i="11"/>
  <c r="K37" i="12" s="1"/>
  <c r="I103" i="21"/>
  <c r="S103" i="21" s="1"/>
  <c r="N37" i="12"/>
  <c r="N38" i="12"/>
  <c r="H38" i="12"/>
  <c r="K35" i="12"/>
  <c r="G21" i="26"/>
  <c r="H7" i="26"/>
  <c r="H22" i="26"/>
  <c r="R111" i="7"/>
  <c r="Q100" i="7"/>
  <c r="R100" i="7"/>
  <c r="I127" i="7"/>
  <c r="S100" i="7"/>
  <c r="I127" i="21"/>
  <c r="I115" i="21"/>
  <c r="S115" i="21" s="1"/>
  <c r="V115" i="21"/>
  <c r="I112" i="21"/>
  <c r="S112" i="21" s="1"/>
  <c r="V112" i="21"/>
  <c r="I111" i="21"/>
  <c r="S111" i="21" s="1"/>
  <c r="V111" i="21"/>
  <c r="I114" i="21"/>
  <c r="S114" i="21" s="1"/>
  <c r="V114" i="21"/>
  <c r="I118" i="21"/>
  <c r="S118" i="21" s="1"/>
  <c r="V118" i="21"/>
  <c r="S100" i="21"/>
  <c r="I117" i="21"/>
  <c r="S117" i="21" s="1"/>
  <c r="V117" i="21"/>
  <c r="I113" i="21"/>
  <c r="S113" i="21" s="1"/>
  <c r="V113" i="21"/>
  <c r="I116" i="21"/>
  <c r="S116" i="21" s="1"/>
  <c r="V116" i="21"/>
  <c r="O6" i="26"/>
  <c r="H102" i="21"/>
  <c r="S118" i="7"/>
  <c r="Q118" i="7"/>
  <c r="H112" i="7"/>
  <c r="I112" i="7" s="1"/>
  <c r="S110" i="7"/>
  <c r="S112" i="7"/>
  <c r="Q155" i="21"/>
  <c r="N172" i="21" s="1"/>
  <c r="R64" i="24"/>
  <c r="R65" i="24" s="1"/>
  <c r="N88" i="24" s="1"/>
  <c r="S64" i="24"/>
  <c r="S65" i="24" s="1"/>
  <c r="O88" i="24" s="1"/>
  <c r="R42" i="24"/>
  <c r="R102" i="21"/>
  <c r="R64" i="23"/>
  <c r="R65" i="23" s="1"/>
  <c r="N88" i="23" s="1"/>
  <c r="S64" i="23"/>
  <c r="S65" i="23" s="1"/>
  <c r="O88" i="23" s="1"/>
  <c r="S41" i="23"/>
  <c r="K39" i="12"/>
  <c r="H39" i="12"/>
  <c r="E35" i="12"/>
  <c r="N35" i="12"/>
  <c r="H35" i="12"/>
  <c r="H40" i="24"/>
  <c r="K40" i="21"/>
  <c r="S40" i="21" s="1"/>
  <c r="S41" i="7"/>
  <c r="J220" i="2"/>
  <c r="R103" i="7"/>
  <c r="S103" i="7"/>
  <c r="R64" i="21"/>
  <c r="R65" i="21" s="1"/>
  <c r="N88" i="21" s="1"/>
  <c r="S64" i="21"/>
  <c r="R64" i="7"/>
  <c r="R65" i="7" s="1"/>
  <c r="N88" i="7" s="1"/>
  <c r="S64" i="7"/>
  <c r="S65" i="7" s="1"/>
  <c r="O88" i="7" s="1"/>
  <c r="F88" i="24"/>
  <c r="H41" i="24"/>
  <c r="H102" i="7"/>
  <c r="R40" i="21"/>
  <c r="H42" i="7"/>
  <c r="Q64" i="7"/>
  <c r="G162" i="5"/>
  <c r="E162" i="5"/>
  <c r="H40" i="7"/>
  <c r="Q164" i="7"/>
  <c r="Q157" i="5" l="1"/>
  <c r="I125" i="21"/>
  <c r="S125" i="21" s="1"/>
  <c r="F53" i="7"/>
  <c r="K95" i="12"/>
  <c r="H95" i="12"/>
  <c r="N95" i="12"/>
  <c r="E43" i="11"/>
  <c r="R127" i="21"/>
  <c r="R128" i="21" s="1"/>
  <c r="N171" i="21" s="1"/>
  <c r="S127" i="21"/>
  <c r="Q123" i="7"/>
  <c r="S123" i="7"/>
  <c r="Q147" i="19"/>
  <c r="M161" i="19"/>
  <c r="Q41" i="7"/>
  <c r="H44" i="7"/>
  <c r="O148" i="5"/>
  <c r="Q148" i="5"/>
  <c r="J167" i="5"/>
  <c r="J169" i="5" s="1"/>
  <c r="J171" i="5" s="1"/>
  <c r="E167" i="5"/>
  <c r="I167" i="19"/>
  <c r="I169" i="19" s="1"/>
  <c r="I171" i="19" s="1"/>
  <c r="D167" i="19"/>
  <c r="D169" i="19" s="1"/>
  <c r="D171" i="19" s="1"/>
  <c r="J153" i="19"/>
  <c r="L153" i="19"/>
  <c r="H162" i="19"/>
  <c r="E124" i="19"/>
  <c r="J169" i="19"/>
  <c r="J171" i="19" s="1"/>
  <c r="Q153" i="5"/>
  <c r="J210" i="2"/>
  <c r="F116" i="7" s="1"/>
  <c r="H116" i="7" s="1"/>
  <c r="I116" i="7" s="1"/>
  <c r="Q116" i="7" s="1"/>
  <c r="O153" i="5"/>
  <c r="L37" i="12"/>
  <c r="O162" i="5"/>
  <c r="Q162" i="5"/>
  <c r="S42" i="24"/>
  <c r="Q42" i="24"/>
  <c r="S61" i="21"/>
  <c r="Q61" i="21"/>
  <c r="Q65" i="21" s="1"/>
  <c r="F37" i="12"/>
  <c r="C15" i="11"/>
  <c r="K40" i="24"/>
  <c r="R127" i="7"/>
  <c r="Q127" i="7"/>
  <c r="E15" i="11"/>
  <c r="Q65" i="7"/>
  <c r="F88" i="7"/>
  <c r="H15" i="11"/>
  <c r="G22" i="26" s="1"/>
  <c r="B15" i="11"/>
  <c r="E37" i="12"/>
  <c r="Q112" i="7"/>
  <c r="R112" i="7"/>
  <c r="I102" i="21"/>
  <c r="V102" i="21"/>
  <c r="C169" i="19"/>
  <c r="N173" i="21"/>
  <c r="R40" i="24"/>
  <c r="H44" i="24"/>
  <c r="H19" i="25" s="1"/>
  <c r="P140" i="21"/>
  <c r="P155" i="21"/>
  <c r="Q164" i="21"/>
  <c r="S41" i="21"/>
  <c r="Q40" i="21"/>
  <c r="Q163" i="21"/>
  <c r="R41" i="21"/>
  <c r="K41" i="24"/>
  <c r="P88" i="24"/>
  <c r="S53" i="24"/>
  <c r="F125" i="7"/>
  <c r="H125" i="7" s="1"/>
  <c r="P140" i="24"/>
  <c r="H44" i="21"/>
  <c r="K42" i="21"/>
  <c r="S42" i="21" s="1"/>
  <c r="K42" i="7"/>
  <c r="S42" i="7" s="1"/>
  <c r="R74" i="21"/>
  <c r="K40" i="7"/>
  <c r="C171" i="5"/>
  <c r="I102" i="7"/>
  <c r="S41" i="24" l="1"/>
  <c r="Q41" i="24"/>
  <c r="S40" i="24"/>
  <c r="Q40" i="24"/>
  <c r="Q44" i="24" s="1"/>
  <c r="R116" i="7"/>
  <c r="P88" i="7"/>
  <c r="E32" i="11"/>
  <c r="H51" i="12" s="1"/>
  <c r="S116" i="7"/>
  <c r="Q161" i="19"/>
  <c r="O161" i="19"/>
  <c r="H147" i="19"/>
  <c r="J203" i="20" s="1"/>
  <c r="F110" i="21" s="1"/>
  <c r="H110" i="21" s="1"/>
  <c r="I110" i="21" s="1"/>
  <c r="F134" i="21"/>
  <c r="G134" i="21" s="1"/>
  <c r="G147" i="21" s="1"/>
  <c r="R140" i="21" s="1"/>
  <c r="E167" i="19"/>
  <c r="E169" i="19" s="1"/>
  <c r="P154" i="20" s="1"/>
  <c r="F135" i="21" s="1"/>
  <c r="G135" i="21" s="1"/>
  <c r="L162" i="19"/>
  <c r="J162" i="19"/>
  <c r="F53" i="24"/>
  <c r="F87" i="24" s="1"/>
  <c r="F53" i="21"/>
  <c r="F87" i="21" s="1"/>
  <c r="F87" i="7"/>
  <c r="P152" i="20"/>
  <c r="R162" i="21"/>
  <c r="R162" i="24"/>
  <c r="P162" i="7"/>
  <c r="G7" i="26"/>
  <c r="K15" i="11"/>
  <c r="O22" i="26" s="1"/>
  <c r="O7" i="26"/>
  <c r="S53" i="7"/>
  <c r="R153" i="7"/>
  <c r="C171" i="19"/>
  <c r="S102" i="21"/>
  <c r="B19" i="25"/>
  <c r="S44" i="24"/>
  <c r="O85" i="24" s="1"/>
  <c r="S44" i="21"/>
  <c r="O85" i="21" s="1"/>
  <c r="R74" i="24"/>
  <c r="S74" i="24"/>
  <c r="Q165" i="21"/>
  <c r="S75" i="23"/>
  <c r="R40" i="23"/>
  <c r="S40" i="23"/>
  <c r="S44" i="23" s="1"/>
  <c r="O85" i="23" s="1"/>
  <c r="R164" i="7"/>
  <c r="S74" i="21"/>
  <c r="H61" i="12"/>
  <c r="Q42" i="7"/>
  <c r="R42" i="7"/>
  <c r="R53" i="7"/>
  <c r="Q53" i="7"/>
  <c r="S53" i="21"/>
  <c r="Q53" i="21"/>
  <c r="Q54" i="21" s="1"/>
  <c r="R102" i="7"/>
  <c r="S102" i="7"/>
  <c r="P153" i="7"/>
  <c r="Q153" i="7"/>
  <c r="K44" i="21"/>
  <c r="F85" i="21" s="1"/>
  <c r="Q42" i="21"/>
  <c r="Q44" i="21" s="1"/>
  <c r="Q163" i="24"/>
  <c r="R40" i="7"/>
  <c r="Q40" i="7"/>
  <c r="Q75" i="7"/>
  <c r="S75" i="7"/>
  <c r="K44" i="24"/>
  <c r="F85" i="24" s="1"/>
  <c r="R41" i="24"/>
  <c r="R44" i="24" s="1"/>
  <c r="N85" i="24" s="1"/>
  <c r="R52" i="21"/>
  <c r="R54" i="21" s="1"/>
  <c r="N87" i="21" s="1"/>
  <c r="R52" i="24"/>
  <c r="R54" i="24" s="1"/>
  <c r="N87" i="24" s="1"/>
  <c r="P155" i="24"/>
  <c r="H19" i="11"/>
  <c r="D62" i="11" s="1"/>
  <c r="B19" i="11"/>
  <c r="B62" i="11" s="1"/>
  <c r="E19" i="11"/>
  <c r="C62" i="11" s="1"/>
  <c r="K19" i="11"/>
  <c r="E62" i="11" s="1"/>
  <c r="R42" i="21"/>
  <c r="R44" i="21" s="1"/>
  <c r="N85" i="21" s="1"/>
  <c r="I125" i="7"/>
  <c r="S125" i="7" s="1"/>
  <c r="R52" i="7"/>
  <c r="S40" i="7"/>
  <c r="S44" i="7" s="1"/>
  <c r="O85" i="7" s="1"/>
  <c r="K44" i="7"/>
  <c r="F85" i="7" s="1"/>
  <c r="Q102" i="7"/>
  <c r="Q163" i="7"/>
  <c r="Q165" i="7" s="1"/>
  <c r="O173" i="7" s="1"/>
  <c r="J147" i="19" l="1"/>
  <c r="H47" i="12"/>
  <c r="H161" i="19"/>
  <c r="J218" i="20" s="1"/>
  <c r="F124" i="21" s="1"/>
  <c r="H124" i="21" s="1"/>
  <c r="V124" i="21" s="1"/>
  <c r="L147" i="19"/>
  <c r="S52" i="21"/>
  <c r="S54" i="21" s="1"/>
  <c r="O87" i="21" s="1"/>
  <c r="P87" i="21" s="1"/>
  <c r="E26" i="11"/>
  <c r="B26" i="11"/>
  <c r="E171" i="19"/>
  <c r="S110" i="21"/>
  <c r="V110" i="21"/>
  <c r="S75" i="24"/>
  <c r="S52" i="24"/>
  <c r="S54" i="24" s="1"/>
  <c r="O87" i="24" s="1"/>
  <c r="P87" i="24" s="1"/>
  <c r="H147" i="21"/>
  <c r="H48" i="12"/>
  <c r="E48" i="12"/>
  <c r="R155" i="7"/>
  <c r="O172" i="7" s="1"/>
  <c r="S52" i="23"/>
  <c r="Q140" i="7"/>
  <c r="N173" i="7" s="1"/>
  <c r="S76" i="23"/>
  <c r="R53" i="23"/>
  <c r="R54" i="23" s="1"/>
  <c r="N87" i="23" s="1"/>
  <c r="N90" i="23" s="1"/>
  <c r="S53" i="23"/>
  <c r="F221" i="21"/>
  <c r="F222" i="21" s="1"/>
  <c r="P85" i="21"/>
  <c r="Q44" i="7"/>
  <c r="R44" i="7"/>
  <c r="N85" i="7" s="1"/>
  <c r="P85" i="7" s="1"/>
  <c r="R54" i="7"/>
  <c r="N87" i="7" s="1"/>
  <c r="R75" i="21"/>
  <c r="S75" i="21"/>
  <c r="Q52" i="7"/>
  <c r="Q54" i="7" s="1"/>
  <c r="S52" i="7"/>
  <c r="S54" i="7" s="1"/>
  <c r="O87" i="7" s="1"/>
  <c r="E27" i="11"/>
  <c r="B27" i="11"/>
  <c r="S76" i="7"/>
  <c r="P85" i="24"/>
  <c r="S76" i="21"/>
  <c r="G78" i="24"/>
  <c r="R75" i="24"/>
  <c r="P141" i="24"/>
  <c r="Q125" i="7"/>
  <c r="R125" i="7"/>
  <c r="P141" i="21"/>
  <c r="P143" i="21" s="1"/>
  <c r="Q155" i="7"/>
  <c r="N172" i="7" s="1"/>
  <c r="B25" i="11" l="1"/>
  <c r="G11" i="26" s="1"/>
  <c r="J161" i="19"/>
  <c r="L161" i="19"/>
  <c r="I124" i="21"/>
  <c r="S124" i="21" s="1"/>
  <c r="S128" i="21" s="1"/>
  <c r="O171" i="21" s="1"/>
  <c r="S124" i="7"/>
  <c r="S128" i="7" s="1"/>
  <c r="O171" i="7" s="1"/>
  <c r="H128" i="21"/>
  <c r="E30" i="11" s="1"/>
  <c r="O10" i="26" s="1"/>
  <c r="G78" i="21"/>
  <c r="F86" i="21" s="1"/>
  <c r="S74" i="23"/>
  <c r="S78" i="23" s="1"/>
  <c r="O86" i="23" s="1"/>
  <c r="S74" i="7"/>
  <c r="S78" i="7" s="1"/>
  <c r="O86" i="7" s="1"/>
  <c r="G78" i="7"/>
  <c r="F86" i="7" s="1"/>
  <c r="F174" i="21"/>
  <c r="C111" i="11" s="1"/>
  <c r="R141" i="21"/>
  <c r="R143" i="21" s="1"/>
  <c r="O174" i="21" s="1"/>
  <c r="S54" i="23"/>
  <c r="O87" i="23" s="1"/>
  <c r="R76" i="24"/>
  <c r="R78" i="24" s="1"/>
  <c r="N86" i="24" s="1"/>
  <c r="S76" i="24"/>
  <c r="S78" i="24" s="1"/>
  <c r="O86" i="24" s="1"/>
  <c r="S78" i="21"/>
  <c r="O86" i="21" s="1"/>
  <c r="Q76" i="7"/>
  <c r="R76" i="7"/>
  <c r="R78" i="7" s="1"/>
  <c r="N86" i="7" s="1"/>
  <c r="N90" i="7" s="1"/>
  <c r="H46" i="12"/>
  <c r="P87" i="7"/>
  <c r="R76" i="21"/>
  <c r="R78" i="21" s="1"/>
  <c r="N86" i="21" s="1"/>
  <c r="Q76" i="21"/>
  <c r="Q78" i="21" s="1"/>
  <c r="Q141" i="7"/>
  <c r="Q143" i="7" s="1"/>
  <c r="N174" i="7" s="1"/>
  <c r="N176" i="7" s="1"/>
  <c r="E25" i="11"/>
  <c r="Q74" i="7"/>
  <c r="Q141" i="23"/>
  <c r="F86" i="24"/>
  <c r="N175" i="21"/>
  <c r="N176" i="21" s="1"/>
  <c r="N178" i="21" s="1"/>
  <c r="E45" i="12" l="1"/>
  <c r="I128" i="21"/>
  <c r="F171" i="21" s="1"/>
  <c r="E29" i="11"/>
  <c r="C63" i="11" s="1"/>
  <c r="B30" i="11"/>
  <c r="G10" i="26" s="1"/>
  <c r="B29" i="11"/>
  <c r="B63" i="11" s="1"/>
  <c r="F89" i="7"/>
  <c r="P174" i="21"/>
  <c r="Q78" i="7"/>
  <c r="N91" i="7"/>
  <c r="H107" i="12" s="1"/>
  <c r="H45" i="12"/>
  <c r="O11" i="26"/>
  <c r="H108" i="12"/>
  <c r="E108" i="12"/>
  <c r="N89" i="21"/>
  <c r="N90" i="21" s="1"/>
  <c r="N91" i="21" s="1"/>
  <c r="P86" i="7"/>
  <c r="P86" i="21"/>
  <c r="P86" i="24"/>
  <c r="F89" i="24"/>
  <c r="C108" i="11" l="1"/>
  <c r="C115" i="11" s="1"/>
  <c r="B108" i="11"/>
  <c r="O89" i="7"/>
  <c r="P171" i="21"/>
  <c r="R163" i="7"/>
  <c r="R165" i="7" s="1"/>
  <c r="F90" i="7"/>
  <c r="P89" i="7"/>
  <c r="N107" i="12"/>
  <c r="N89" i="24"/>
  <c r="N90" i="24" s="1"/>
  <c r="O89" i="24"/>
  <c r="O90" i="24" s="1"/>
  <c r="O91" i="24" s="1"/>
  <c r="H106" i="12"/>
  <c r="E107" i="12"/>
  <c r="E106" i="12" s="1"/>
  <c r="K107" i="12"/>
  <c r="O90" i="7"/>
  <c r="O91" i="7" s="1"/>
  <c r="F90" i="24"/>
  <c r="F91" i="24" s="1"/>
  <c r="E39" i="11"/>
  <c r="H57" i="12" s="1"/>
  <c r="F91" i="7" l="1"/>
  <c r="E46" i="11" s="1"/>
  <c r="C62" i="25" s="1"/>
  <c r="B46" i="25"/>
  <c r="H46" i="25"/>
  <c r="B67" i="25" s="1"/>
  <c r="P89" i="24"/>
  <c r="N83" i="12"/>
  <c r="H83" i="12"/>
  <c r="P90" i="7"/>
  <c r="P91" i="7" s="1"/>
  <c r="P90" i="24"/>
  <c r="N91" i="24"/>
  <c r="C56" i="11"/>
  <c r="K46" i="11" l="1"/>
  <c r="C72" i="25" s="1"/>
  <c r="H64" i="12"/>
  <c r="P91" i="24"/>
  <c r="H98" i="12"/>
  <c r="N98" i="12"/>
  <c r="H91" i="12"/>
  <c r="B57" i="25"/>
  <c r="N64" i="12" l="1"/>
  <c r="S62" i="21"/>
  <c r="S65" i="21" s="1"/>
  <c r="O88" i="21" s="1"/>
  <c r="F88" i="21" l="1"/>
  <c r="B111" i="11" s="1"/>
  <c r="F89" i="21" l="1"/>
  <c r="P88" i="21"/>
  <c r="F90" i="21" l="1"/>
  <c r="O89" i="21"/>
  <c r="F91" i="21" l="1"/>
  <c r="B46" i="11" s="1"/>
  <c r="O90" i="21"/>
  <c r="P90" i="21" s="1"/>
  <c r="P89" i="21"/>
  <c r="H46" i="11" l="1"/>
  <c r="K64" i="12" s="1"/>
  <c r="E64" i="12"/>
  <c r="C57" i="25"/>
  <c r="P91" i="21"/>
  <c r="O91" i="21"/>
  <c r="C67" i="25" l="1"/>
  <c r="K83" i="12"/>
  <c r="E83" i="12"/>
  <c r="K98" i="12"/>
  <c r="E98" i="12"/>
  <c r="Q153" i="24" l="1"/>
  <c r="Q155" i="24" s="1"/>
  <c r="N172" i="24" s="1"/>
  <c r="N175" i="24"/>
  <c r="R102" i="24"/>
  <c r="R103" i="24"/>
  <c r="R105" i="24"/>
  <c r="R106" i="24"/>
  <c r="R108" i="24"/>
  <c r="R109" i="24"/>
  <c r="R110" i="24"/>
  <c r="R111" i="24"/>
  <c r="R112" i="24"/>
  <c r="R113" i="24"/>
  <c r="R114" i="24"/>
  <c r="R115" i="24"/>
  <c r="R116" i="24"/>
  <c r="R117" i="24"/>
  <c r="R118" i="24"/>
  <c r="R119" i="24"/>
  <c r="R120" i="24"/>
  <c r="R121" i="24"/>
  <c r="R122" i="24"/>
  <c r="R123" i="24"/>
  <c r="R124" i="24"/>
  <c r="R125" i="24"/>
  <c r="R126" i="24"/>
  <c r="P142" i="24"/>
  <c r="P143" i="24" s="1"/>
  <c r="Q164" i="24"/>
  <c r="Q165" i="24" s="1"/>
  <c r="N176" i="24" l="1"/>
  <c r="C114" i="24"/>
  <c r="F119" i="24" l="1"/>
  <c r="H119" i="24" s="1"/>
  <c r="I119" i="24" s="1"/>
  <c r="S119" i="24" s="1"/>
  <c r="F127" i="24"/>
  <c r="F112" i="24"/>
  <c r="E24" i="25"/>
  <c r="G136" i="24"/>
  <c r="E28" i="25" s="1"/>
  <c r="F111" i="24"/>
  <c r="H111" i="24" s="1"/>
  <c r="F100" i="24"/>
  <c r="H100" i="24" s="1"/>
  <c r="F109" i="24"/>
  <c r="F103" i="24"/>
  <c r="H103" i="24" s="1"/>
  <c r="I103" i="24" s="1"/>
  <c r="S103" i="24" s="1"/>
  <c r="F110" i="24"/>
  <c r="H110" i="24" s="1"/>
  <c r="F101" i="24"/>
  <c r="H101" i="24" s="1"/>
  <c r="F105" i="24"/>
  <c r="F106" i="24"/>
  <c r="F117" i="24"/>
  <c r="F124" i="24"/>
  <c r="E23" i="25"/>
  <c r="F125" i="24"/>
  <c r="F120" i="24"/>
  <c r="F116" i="24"/>
  <c r="F122" i="24"/>
  <c r="F118" i="24"/>
  <c r="F114" i="24"/>
  <c r="F104" i="24"/>
  <c r="B23" i="25"/>
  <c r="F108" i="24"/>
  <c r="F126" i="24"/>
  <c r="F113" i="24"/>
  <c r="C117" i="24"/>
  <c r="C118" i="24" s="1"/>
  <c r="F102" i="24"/>
  <c r="F121" i="24"/>
  <c r="F123" i="24"/>
  <c r="F107" i="24"/>
  <c r="F115" i="24"/>
  <c r="I127" i="24" l="1"/>
  <c r="H127" i="24"/>
  <c r="I101" i="24"/>
  <c r="C122" i="24"/>
  <c r="I110" i="24"/>
  <c r="S110" i="24" s="1"/>
  <c r="I111" i="24"/>
  <c r="S111" i="24" s="1"/>
  <c r="H109" i="24"/>
  <c r="I109" i="24" s="1"/>
  <c r="S109" i="24" s="1"/>
  <c r="J147" i="24"/>
  <c r="R142" i="24" s="1"/>
  <c r="B28" i="25"/>
  <c r="I100" i="24"/>
  <c r="C121" i="24"/>
  <c r="G99" i="24" s="1"/>
  <c r="B24" i="25"/>
  <c r="C120" i="24"/>
  <c r="F134" i="24" s="1"/>
  <c r="C116" i="24"/>
  <c r="H112" i="24"/>
  <c r="I112" i="24" s="1"/>
  <c r="S112" i="24" s="1"/>
  <c r="H114" i="24"/>
  <c r="I114" i="24" s="1"/>
  <c r="S114" i="24" s="1"/>
  <c r="F153" i="24"/>
  <c r="H102" i="24"/>
  <c r="H117" i="24"/>
  <c r="I117" i="24" s="1"/>
  <c r="S117" i="24" s="1"/>
  <c r="H115" i="24"/>
  <c r="I115" i="24" s="1"/>
  <c r="S115" i="24" s="1"/>
  <c r="H121" i="24"/>
  <c r="I121" i="24" s="1"/>
  <c r="S121" i="24" s="1"/>
  <c r="H120" i="24"/>
  <c r="I120" i="24" s="1"/>
  <c r="S120" i="24" s="1"/>
  <c r="H107" i="24"/>
  <c r="I107" i="24" s="1"/>
  <c r="S107" i="24" s="1"/>
  <c r="I126" i="24"/>
  <c r="S126" i="24" s="1"/>
  <c r="H126" i="24"/>
  <c r="H118" i="24"/>
  <c r="I118" i="24" s="1"/>
  <c r="S118" i="24" s="1"/>
  <c r="H125" i="24"/>
  <c r="I125" i="24" s="1"/>
  <c r="S125" i="24" s="1"/>
  <c r="H123" i="24"/>
  <c r="I123" i="24" s="1"/>
  <c r="S123" i="24" s="1"/>
  <c r="I104" i="24"/>
  <c r="H104" i="24"/>
  <c r="H106" i="24"/>
  <c r="I106" i="24" s="1"/>
  <c r="S106" i="24" s="1"/>
  <c r="H108" i="24"/>
  <c r="I108" i="24" s="1"/>
  <c r="S108" i="24" s="1"/>
  <c r="H122" i="24"/>
  <c r="I122" i="24" s="1"/>
  <c r="S122" i="24" s="1"/>
  <c r="H113" i="24"/>
  <c r="I113" i="24" s="1"/>
  <c r="S113" i="24" s="1"/>
  <c r="H116" i="24"/>
  <c r="I116" i="24" s="1"/>
  <c r="S116" i="24" s="1"/>
  <c r="H124" i="24"/>
  <c r="I124" i="24" s="1"/>
  <c r="S124" i="24" s="1"/>
  <c r="H105" i="24"/>
  <c r="I105" i="24" s="1"/>
  <c r="S105" i="24" s="1"/>
  <c r="R127" i="24" l="1"/>
  <c r="R128" i="24" s="1"/>
  <c r="N171" i="24" s="1"/>
  <c r="N178" i="24" s="1"/>
  <c r="S127" i="24"/>
  <c r="H128" i="24"/>
  <c r="S100" i="24"/>
  <c r="F99" i="24"/>
  <c r="R153" i="24"/>
  <c r="I102" i="24"/>
  <c r="I128" i="24" s="1"/>
  <c r="J230" i="20" l="1"/>
  <c r="J229" i="20"/>
  <c r="M241" i="20"/>
  <c r="F155" i="21" s="1"/>
  <c r="F155" i="24"/>
  <c r="R154" i="24" s="1"/>
  <c r="G134" i="24"/>
  <c r="E26" i="25" s="1"/>
  <c r="F135" i="24"/>
  <c r="G135" i="24" s="1"/>
  <c r="E29" i="25"/>
  <c r="P10" i="26" s="1"/>
  <c r="B29" i="25"/>
  <c r="H10" i="26" s="1"/>
  <c r="S102" i="24"/>
  <c r="F163" i="24" l="1"/>
  <c r="F163" i="21"/>
  <c r="F164" i="24"/>
  <c r="R164" i="24" s="1"/>
  <c r="F164" i="21"/>
  <c r="R164" i="21" s="1"/>
  <c r="F156" i="24"/>
  <c r="F172" i="24" s="1"/>
  <c r="F156" i="21"/>
  <c r="F172" i="21" s="1"/>
  <c r="R154" i="21"/>
  <c r="R155" i="21" s="1"/>
  <c r="O172" i="21" s="1"/>
  <c r="S128" i="24"/>
  <c r="O171" i="24" s="1"/>
  <c r="G147" i="24"/>
  <c r="R140" i="24" s="1"/>
  <c r="B26" i="25"/>
  <c r="B27" i="25"/>
  <c r="H147" i="24"/>
  <c r="R141" i="24" s="1"/>
  <c r="E27" i="25"/>
  <c r="E25" i="25" s="1"/>
  <c r="P11" i="26" s="1"/>
  <c r="F221" i="24"/>
  <c r="F222" i="24" s="1"/>
  <c r="F171" i="24"/>
  <c r="R155" i="24"/>
  <c r="O172" i="24" s="1"/>
  <c r="B109" i="11" l="1"/>
  <c r="C109" i="11"/>
  <c r="F173" i="21"/>
  <c r="R163" i="21"/>
  <c r="R165" i="21" s="1"/>
  <c r="O173" i="21" s="1"/>
  <c r="P172" i="21"/>
  <c r="B25" i="25"/>
  <c r="H11" i="26" s="1"/>
  <c r="R143" i="24"/>
  <c r="O174" i="24" s="1"/>
  <c r="F174" i="24"/>
  <c r="F173" i="24"/>
  <c r="R163" i="24"/>
  <c r="R165" i="24" s="1"/>
  <c r="O173" i="24" s="1"/>
  <c r="P172" i="24"/>
  <c r="P171" i="24"/>
  <c r="C110" i="11" l="1"/>
  <c r="B110" i="11"/>
  <c r="P173" i="21"/>
  <c r="F175" i="21"/>
  <c r="F175" i="24"/>
  <c r="F176" i="24" s="1"/>
  <c r="P174" i="24"/>
  <c r="P173" i="24"/>
  <c r="C112" i="11" l="1"/>
  <c r="B112" i="11"/>
  <c r="F176" i="21"/>
  <c r="O175" i="21"/>
  <c r="O175" i="24"/>
  <c r="P175" i="24" s="1"/>
  <c r="F178" i="24"/>
  <c r="C113" i="11" l="1"/>
  <c r="B113" i="11"/>
  <c r="B115" i="11" s="1"/>
  <c r="F178" i="21"/>
  <c r="E47" i="11" s="1"/>
  <c r="E45" i="11" s="1"/>
  <c r="E47" i="25"/>
  <c r="B63" i="25" s="1"/>
  <c r="B47" i="25"/>
  <c r="P175" i="21"/>
  <c r="O176" i="21"/>
  <c r="O178" i="21" s="1"/>
  <c r="O176" i="24"/>
  <c r="P176" i="24" s="1"/>
  <c r="P178" i="24" s="1"/>
  <c r="B47" i="11" l="1"/>
  <c r="H84" i="12"/>
  <c r="H82" i="12" s="1"/>
  <c r="H86" i="12" s="1"/>
  <c r="H87" i="12" s="1"/>
  <c r="E84" i="12"/>
  <c r="E82" i="12" s="1"/>
  <c r="E86" i="12" s="1"/>
  <c r="E87" i="12" s="1"/>
  <c r="P176" i="21"/>
  <c r="P178" i="21" s="1"/>
  <c r="O178" i="24"/>
  <c r="B58" i="25"/>
  <c r="B56" i="25" s="1"/>
  <c r="B45" i="25"/>
  <c r="B49" i="25" s="1"/>
  <c r="B50" i="25" s="1"/>
  <c r="Q140" i="23"/>
  <c r="Q142" i="23"/>
  <c r="R105" i="23"/>
  <c r="R106" i="23"/>
  <c r="R108" i="23"/>
  <c r="R109" i="23"/>
  <c r="R113" i="23"/>
  <c r="R114" i="23"/>
  <c r="R115" i="23"/>
  <c r="R117" i="23"/>
  <c r="R118" i="23"/>
  <c r="R119" i="23"/>
  <c r="R120" i="23"/>
  <c r="R121" i="23"/>
  <c r="R122" i="23"/>
  <c r="R123" i="23"/>
  <c r="R124" i="23"/>
  <c r="R125" i="23"/>
  <c r="Q155" i="23"/>
  <c r="N172" i="23" s="1"/>
  <c r="C114" i="23"/>
  <c r="P162" i="23" s="1"/>
  <c r="C121" i="23"/>
  <c r="G99" i="23" s="1"/>
  <c r="E65" i="12" l="1"/>
  <c r="C58" i="25"/>
  <c r="C56" i="25" s="1"/>
  <c r="B45" i="11"/>
  <c r="E99" i="12"/>
  <c r="E97" i="12" s="1"/>
  <c r="E101" i="12" s="1"/>
  <c r="E102" i="12" s="1"/>
  <c r="H99" i="12"/>
  <c r="H97" i="12" s="1"/>
  <c r="H101" i="12" s="1"/>
  <c r="H102" i="12" s="1"/>
  <c r="H65" i="12"/>
  <c r="C63" i="25"/>
  <c r="C61" i="25" s="1"/>
  <c r="F116" i="23"/>
  <c r="H116" i="23" s="1"/>
  <c r="I116" i="23" s="1"/>
  <c r="R116" i="23" s="1"/>
  <c r="F127" i="23"/>
  <c r="F122" i="23"/>
  <c r="H122" i="23" s="1"/>
  <c r="I122" i="23" s="1"/>
  <c r="C122" i="23"/>
  <c r="F113" i="23"/>
  <c r="H113" i="23" s="1"/>
  <c r="F105" i="23"/>
  <c r="H105" i="23" s="1"/>
  <c r="F125" i="23"/>
  <c r="H125" i="23" s="1"/>
  <c r="I125" i="23" s="1"/>
  <c r="Q125" i="23" s="1"/>
  <c r="F109" i="23"/>
  <c r="H109" i="23" s="1"/>
  <c r="S113" i="23"/>
  <c r="Q143" i="23"/>
  <c r="N174" i="23" s="1"/>
  <c r="N176" i="23" s="1"/>
  <c r="F114" i="23"/>
  <c r="H114" i="23" s="1"/>
  <c r="C116" i="23"/>
  <c r="F106" i="23"/>
  <c r="H106" i="23" s="1"/>
  <c r="C120" i="23"/>
  <c r="F134" i="23" s="1"/>
  <c r="F121" i="23"/>
  <c r="F115" i="23"/>
  <c r="F117" i="23"/>
  <c r="F123" i="23"/>
  <c r="F111" i="23"/>
  <c r="F118" i="23"/>
  <c r="F101" i="23"/>
  <c r="K23" i="25"/>
  <c r="F100" i="23"/>
  <c r="F102" i="23"/>
  <c r="F119" i="23"/>
  <c r="F126" i="23"/>
  <c r="F108" i="23"/>
  <c r="G136" i="23"/>
  <c r="F112" i="23"/>
  <c r="C117" i="23"/>
  <c r="C118" i="23" s="1"/>
  <c r="H23" i="25"/>
  <c r="F120" i="23"/>
  <c r="F104" i="23"/>
  <c r="F107" i="23"/>
  <c r="F103" i="23"/>
  <c r="F153" i="23" l="1"/>
  <c r="P153" i="23" s="1"/>
  <c r="C94" i="11"/>
  <c r="C57" i="11"/>
  <c r="B57" i="11"/>
  <c r="C93" i="11"/>
  <c r="H63" i="12"/>
  <c r="E49" i="11"/>
  <c r="E63" i="12"/>
  <c r="B49" i="11"/>
  <c r="S125" i="23"/>
  <c r="I127" i="23"/>
  <c r="H127" i="23"/>
  <c r="I113" i="23"/>
  <c r="Q113" i="23" s="1"/>
  <c r="I114" i="23"/>
  <c r="Q114" i="23" s="1"/>
  <c r="I105" i="23"/>
  <c r="I109" i="23"/>
  <c r="S116" i="23"/>
  <c r="Q116" i="23"/>
  <c r="S114" i="23"/>
  <c r="S122" i="23"/>
  <c r="Q122" i="23"/>
  <c r="I106" i="23"/>
  <c r="F99" i="23"/>
  <c r="H103" i="23"/>
  <c r="I103" i="23" s="1"/>
  <c r="R103" i="23" s="1"/>
  <c r="H28" i="25"/>
  <c r="J147" i="23"/>
  <c r="K28" i="25"/>
  <c r="H102" i="23"/>
  <c r="H112" i="23"/>
  <c r="I112" i="23" s="1"/>
  <c r="R112" i="23" s="1"/>
  <c r="H119" i="23"/>
  <c r="I119" i="23" s="1"/>
  <c r="H111" i="23"/>
  <c r="I111" i="23" s="1"/>
  <c r="R111" i="23" s="1"/>
  <c r="H117" i="23"/>
  <c r="I117" i="23" s="1"/>
  <c r="H107" i="23"/>
  <c r="I107" i="23" s="1"/>
  <c r="H120" i="23"/>
  <c r="I120" i="23" s="1"/>
  <c r="H108" i="23"/>
  <c r="I108" i="23" s="1"/>
  <c r="H101" i="23"/>
  <c r="I101" i="23"/>
  <c r="H115" i="23"/>
  <c r="I115" i="23" s="1"/>
  <c r="H100" i="23"/>
  <c r="H104" i="23"/>
  <c r="I104" i="23"/>
  <c r="H126" i="23"/>
  <c r="I126" i="23" s="1"/>
  <c r="R126" i="23" s="1"/>
  <c r="H118" i="23"/>
  <c r="I118" i="23" s="1"/>
  <c r="H123" i="23"/>
  <c r="I123" i="23" s="1"/>
  <c r="H121" i="23"/>
  <c r="I121" i="23" s="1"/>
  <c r="B58" i="11" l="1"/>
  <c r="B50" i="11"/>
  <c r="E68" i="12" s="1"/>
  <c r="E67" i="12"/>
  <c r="C58" i="11"/>
  <c r="H67" i="12"/>
  <c r="E50" i="11"/>
  <c r="H68" i="12" s="1"/>
  <c r="R127" i="23"/>
  <c r="Q127" i="23"/>
  <c r="Q109" i="23"/>
  <c r="S109" i="23"/>
  <c r="Q105" i="23"/>
  <c r="S105" i="23"/>
  <c r="I100" i="23"/>
  <c r="R100" i="23" s="1"/>
  <c r="S124" i="23"/>
  <c r="S120" i="23"/>
  <c r="Q120" i="23"/>
  <c r="R164" i="23"/>
  <c r="S106" i="23"/>
  <c r="Q106" i="23"/>
  <c r="S121" i="23"/>
  <c r="Q121" i="23"/>
  <c r="S126" i="23"/>
  <c r="Q126" i="23"/>
  <c r="S107" i="23"/>
  <c r="Q107" i="23"/>
  <c r="S112" i="23"/>
  <c r="Q112" i="23"/>
  <c r="S103" i="23"/>
  <c r="Q103" i="23"/>
  <c r="S123" i="23"/>
  <c r="Q123" i="23"/>
  <c r="S115" i="23"/>
  <c r="Q115" i="23"/>
  <c r="S111" i="23"/>
  <c r="Q111" i="23"/>
  <c r="S110" i="23"/>
  <c r="S118" i="23"/>
  <c r="Q118" i="23"/>
  <c r="S108" i="23"/>
  <c r="Q108" i="23"/>
  <c r="S117" i="23"/>
  <c r="Q117" i="23"/>
  <c r="S119" i="23"/>
  <c r="Q119" i="23"/>
  <c r="R142" i="23"/>
  <c r="P142" i="23"/>
  <c r="I102" i="23"/>
  <c r="R102" i="23" s="1"/>
  <c r="R153" i="23"/>
  <c r="S100" i="23" l="1"/>
  <c r="Q100" i="23"/>
  <c r="S102" i="23"/>
  <c r="Q102" i="23"/>
  <c r="S128" i="23" l="1"/>
  <c r="O171" i="23" s="1"/>
  <c r="R155" i="23"/>
  <c r="O172" i="23" s="1"/>
  <c r="R163" i="23" l="1"/>
  <c r="R165" i="23" s="1"/>
  <c r="O173" i="23" s="1"/>
  <c r="P153" i="2" l="1"/>
  <c r="F134" i="7"/>
  <c r="G134" i="7" s="1"/>
  <c r="G134" i="23"/>
  <c r="D169" i="5"/>
  <c r="D171" i="5" s="1"/>
  <c r="E169" i="5"/>
  <c r="P155" i="2" s="1"/>
  <c r="H147" i="5"/>
  <c r="E171" i="5" l="1"/>
  <c r="K26" i="25"/>
  <c r="G147" i="23"/>
  <c r="R140" i="23" s="1"/>
  <c r="E47" i="12"/>
  <c r="E46" i="12" s="1"/>
  <c r="H26" i="25"/>
  <c r="K26" i="11"/>
  <c r="G147" i="7"/>
  <c r="R140" i="7" s="1"/>
  <c r="K47" i="12"/>
  <c r="H26" i="11"/>
  <c r="N47" i="12"/>
  <c r="L147" i="5"/>
  <c r="M147" i="5"/>
  <c r="H161" i="5"/>
  <c r="J147" i="5"/>
  <c r="F135" i="23"/>
  <c r="G135" i="23" s="1"/>
  <c r="F135" i="7"/>
  <c r="G135" i="7" s="1"/>
  <c r="F221" i="7" s="1"/>
  <c r="H43" i="11" l="1"/>
  <c r="F222" i="7"/>
  <c r="K43" i="11"/>
  <c r="N96" i="12"/>
  <c r="N91" i="12" s="1"/>
  <c r="K96" i="12"/>
  <c r="K91" i="12" s="1"/>
  <c r="H27" i="25"/>
  <c r="H25" i="25" s="1"/>
  <c r="H32" i="25" s="1"/>
  <c r="H147" i="23"/>
  <c r="K27" i="25"/>
  <c r="K25" i="25" s="1"/>
  <c r="P140" i="7"/>
  <c r="P140" i="23"/>
  <c r="J161" i="5"/>
  <c r="L161" i="5"/>
  <c r="M161" i="5"/>
  <c r="K27" i="11"/>
  <c r="K25" i="11" s="1"/>
  <c r="K32" i="11" s="1"/>
  <c r="H27" i="11"/>
  <c r="H25" i="11" s="1"/>
  <c r="H32" i="11" s="1"/>
  <c r="N48" i="12"/>
  <c r="N46" i="12" s="1"/>
  <c r="H147" i="7"/>
  <c r="K48" i="12"/>
  <c r="K46" i="12" s="1"/>
  <c r="J204" i="2"/>
  <c r="O147" i="5"/>
  <c r="Q147" i="5"/>
  <c r="F221" i="23"/>
  <c r="P141" i="7" l="1"/>
  <c r="P143" i="7" s="1"/>
  <c r="R141" i="7"/>
  <c r="R143" i="7" s="1"/>
  <c r="O174" i="7" s="1"/>
  <c r="P141" i="23"/>
  <c r="P143" i="23" s="1"/>
  <c r="R141" i="23"/>
  <c r="R143" i="23" s="1"/>
  <c r="O174" i="23" s="1"/>
  <c r="P26" i="26"/>
  <c r="K45" i="12"/>
  <c r="K51" i="12"/>
  <c r="G26" i="26"/>
  <c r="O26" i="26"/>
  <c r="N51" i="12"/>
  <c r="N45" i="12"/>
  <c r="H26" i="26"/>
  <c r="H43" i="25"/>
  <c r="H39" i="25" s="1"/>
  <c r="F174" i="7"/>
  <c r="E111" i="11" s="1"/>
  <c r="F110" i="23"/>
  <c r="F110" i="7"/>
  <c r="N61" i="12"/>
  <c r="K39" i="11"/>
  <c r="E56" i="11" s="1"/>
  <c r="F174" i="23"/>
  <c r="O161" i="5"/>
  <c r="Q161" i="5"/>
  <c r="J219" i="2"/>
  <c r="H39" i="11"/>
  <c r="K61" i="12"/>
  <c r="P174" i="23" l="1"/>
  <c r="P174" i="7"/>
  <c r="D111" i="11"/>
  <c r="F124" i="23"/>
  <c r="F124" i="7"/>
  <c r="N57" i="12"/>
  <c r="H110" i="7"/>
  <c r="I110" i="7" s="1"/>
  <c r="R110" i="7" s="1"/>
  <c r="R128" i="7" s="1"/>
  <c r="N171" i="7" s="1"/>
  <c r="N178" i="7" s="1"/>
  <c r="K57" i="12"/>
  <c r="D56" i="11"/>
  <c r="H110" i="23"/>
  <c r="I110" i="23" s="1"/>
  <c r="R110" i="23" s="1"/>
  <c r="R128" i="23" s="1"/>
  <c r="N171" i="23" s="1"/>
  <c r="N178" i="23" s="1"/>
  <c r="K108" i="12" l="1"/>
  <c r="K106" i="12" s="1"/>
  <c r="N108" i="12"/>
  <c r="N106" i="12" s="1"/>
  <c r="Q110" i="23"/>
  <c r="H124" i="7"/>
  <c r="H128" i="7" s="1"/>
  <c r="Q110" i="7"/>
  <c r="H124" i="23"/>
  <c r="H128" i="23" s="1"/>
  <c r="I124" i="7" l="1"/>
  <c r="Q124" i="7" s="1"/>
  <c r="Q128" i="7" s="1"/>
  <c r="I124" i="23"/>
  <c r="Q124" i="23" s="1"/>
  <c r="Q128" i="23" s="1"/>
  <c r="J231" i="2"/>
  <c r="H29" i="25"/>
  <c r="H25" i="26" s="1"/>
  <c r="F155" i="23"/>
  <c r="J230" i="2"/>
  <c r="K29" i="25"/>
  <c r="P25" i="26" s="1"/>
  <c r="M242" i="2"/>
  <c r="F155" i="7" s="1"/>
  <c r="H29" i="11"/>
  <c r="D63" i="11" s="1"/>
  <c r="H30" i="11"/>
  <c r="G25" i="26" s="1"/>
  <c r="K30" i="11"/>
  <c r="O25" i="26" s="1"/>
  <c r="K29" i="11"/>
  <c r="E63" i="11" s="1"/>
  <c r="I128" i="7" l="1"/>
  <c r="F171" i="7" s="1"/>
  <c r="I128" i="23"/>
  <c r="F171" i="23" s="1"/>
  <c r="P171" i="23" s="1"/>
  <c r="F163" i="7"/>
  <c r="F163" i="23"/>
  <c r="F156" i="23"/>
  <c r="F172" i="23" s="1"/>
  <c r="P154" i="23"/>
  <c r="P155" i="23" s="1"/>
  <c r="P154" i="7"/>
  <c r="P155" i="7" s="1"/>
  <c r="F156" i="7"/>
  <c r="F172" i="7" s="1"/>
  <c r="F164" i="7"/>
  <c r="P164" i="7" s="1"/>
  <c r="F164" i="23"/>
  <c r="P164" i="23" s="1"/>
  <c r="D108" i="11" l="1"/>
  <c r="E108" i="11"/>
  <c r="D109" i="11"/>
  <c r="E109" i="11"/>
  <c r="P171" i="7"/>
  <c r="P172" i="23"/>
  <c r="F173" i="23"/>
  <c r="P173" i="23" s="1"/>
  <c r="P163" i="23"/>
  <c r="P165" i="23" s="1"/>
  <c r="P172" i="7"/>
  <c r="F173" i="7"/>
  <c r="E110" i="11" s="1"/>
  <c r="P163" i="7"/>
  <c r="P165" i="7" s="1"/>
  <c r="F175" i="7" l="1"/>
  <c r="D110" i="11"/>
  <c r="F175" i="23"/>
  <c r="P173" i="7"/>
  <c r="B179" i="7" l="1"/>
  <c r="E112" i="11"/>
  <c r="F176" i="7"/>
  <c r="E113" i="11" s="1"/>
  <c r="O175" i="7"/>
  <c r="O176" i="7" s="1"/>
  <c r="O178" i="7" s="1"/>
  <c r="D112" i="11"/>
  <c r="O175" i="23"/>
  <c r="O176" i="23" s="1"/>
  <c r="O178" i="23" s="1"/>
  <c r="F176" i="23"/>
  <c r="D113" i="11" l="1"/>
  <c r="D115" i="11" s="1"/>
  <c r="E115" i="11"/>
  <c r="F178" i="7"/>
  <c r="P176" i="7"/>
  <c r="K84" i="12"/>
  <c r="N84" i="12"/>
  <c r="N82" i="12" s="1"/>
  <c r="N86" i="12" s="1"/>
  <c r="N87" i="12" s="1"/>
  <c r="P175" i="7"/>
  <c r="P175" i="23"/>
  <c r="P176" i="23"/>
  <c r="F178" i="23"/>
  <c r="H47" i="25" s="1"/>
  <c r="K82" i="12" l="1"/>
  <c r="K86" i="12" s="1"/>
  <c r="P178" i="7"/>
  <c r="N99" i="12" s="1"/>
  <c r="N97" i="12" s="1"/>
  <c r="N101" i="12" s="1"/>
  <c r="N102" i="12" s="1"/>
  <c r="H47" i="11"/>
  <c r="K47" i="11"/>
  <c r="P178" i="23"/>
  <c r="K47" i="25"/>
  <c r="H45" i="25"/>
  <c r="H49" i="25" s="1"/>
  <c r="H50" i="25" s="1"/>
  <c r="B68" i="25"/>
  <c r="B66" i="25" s="1"/>
  <c r="K87" i="12" l="1"/>
  <c r="K99" i="12"/>
  <c r="K97" i="12" s="1"/>
  <c r="K101" i="12" s="1"/>
  <c r="K102" i="12" s="1"/>
  <c r="K65" i="12"/>
  <c r="H45" i="11"/>
  <c r="C68" i="25"/>
  <c r="C66" i="25" s="1"/>
  <c r="N65" i="12"/>
  <c r="K45" i="11"/>
  <c r="C73" i="25"/>
  <c r="C71" i="25" s="1"/>
  <c r="B73" i="25"/>
  <c r="F21" i="23"/>
  <c r="E13" i="25" s="1"/>
  <c r="D57" i="11" l="1"/>
  <c r="C95" i="11"/>
  <c r="H49" i="11"/>
  <c r="D58" i="11" s="1"/>
  <c r="K63" i="12"/>
  <c r="N63" i="12"/>
  <c r="K49" i="11"/>
  <c r="C96" i="11"/>
  <c r="E57" i="11"/>
  <c r="K13" i="25"/>
  <c r="F24" i="23"/>
  <c r="F22" i="23"/>
  <c r="C26" i="12" l="1"/>
  <c r="H50" i="11"/>
  <c r="K68" i="12" s="1"/>
  <c r="K67" i="12"/>
  <c r="N67" i="12"/>
  <c r="K50" i="11"/>
  <c r="N68" i="12" s="1"/>
  <c r="E58" i="11"/>
  <c r="E17" i="25"/>
  <c r="F220" i="23"/>
  <c r="F222" i="23" s="1"/>
  <c r="G68" i="23"/>
  <c r="E16" i="25"/>
  <c r="K17" i="25"/>
  <c r="H68" i="23"/>
  <c r="Q63" i="23" s="1"/>
  <c r="K16" i="25"/>
  <c r="F18" i="23"/>
  <c r="K14" i="25"/>
  <c r="K12" i="25" s="1"/>
  <c r="P21" i="26" s="1"/>
  <c r="F23" i="23"/>
  <c r="F41" i="23" s="1"/>
  <c r="E14" i="25"/>
  <c r="E12" i="25" s="1"/>
  <c r="P6" i="26" s="1"/>
  <c r="H41" i="23" l="1"/>
  <c r="K41" i="23" s="1"/>
  <c r="G75" i="23"/>
  <c r="Q75" i="23" s="1"/>
  <c r="F42" i="23"/>
  <c r="F54" i="23" s="1"/>
  <c r="F40" i="23"/>
  <c r="Q62" i="23"/>
  <c r="E18" i="25"/>
  <c r="E15" i="25" s="1"/>
  <c r="E32" i="25" s="1"/>
  <c r="K18" i="25"/>
  <c r="I68" i="23"/>
  <c r="Q64" i="23" s="1"/>
  <c r="R41" i="23" l="1"/>
  <c r="Q41" i="23"/>
  <c r="H42" i="23"/>
  <c r="K42" i="23" s="1"/>
  <c r="G76" i="23"/>
  <c r="Q76" i="23" s="1"/>
  <c r="G74" i="23"/>
  <c r="Q74" i="23" s="1"/>
  <c r="H40" i="23"/>
  <c r="F53" i="23"/>
  <c r="Q52" i="23" s="1"/>
  <c r="Q54" i="23" s="1"/>
  <c r="K15" i="25"/>
  <c r="P7" i="26"/>
  <c r="E43" i="25"/>
  <c r="E39" i="25" s="1"/>
  <c r="Q65" i="23"/>
  <c r="F88" i="23"/>
  <c r="P88" i="23" s="1"/>
  <c r="R42" i="23" l="1"/>
  <c r="R44" i="23" s="1"/>
  <c r="N85" i="23" s="1"/>
  <c r="N91" i="23" s="1"/>
  <c r="Q42" i="23"/>
  <c r="P22" i="26"/>
  <c r="K32" i="25"/>
  <c r="K43" i="25" s="1"/>
  <c r="K39" i="25" s="1"/>
  <c r="H44" i="23"/>
  <c r="K19" i="25" s="1"/>
  <c r="Q78" i="23"/>
  <c r="G78" i="23"/>
  <c r="F86" i="23" s="1"/>
  <c r="P86" i="23" s="1"/>
  <c r="K40" i="23"/>
  <c r="Q40" i="23" s="1"/>
  <c r="F87" i="23"/>
  <c r="P87" i="23" s="1"/>
  <c r="Q44" i="23" l="1"/>
  <c r="E19" i="25"/>
  <c r="K44" i="23"/>
  <c r="F85" i="23" s="1"/>
  <c r="P85" i="23" s="1"/>
  <c r="F89" i="23" l="1"/>
  <c r="O89" i="23" l="1"/>
  <c r="P89" i="23" s="1"/>
  <c r="F90" i="23"/>
  <c r="O90" i="23" l="1"/>
  <c r="P90" i="23" s="1"/>
  <c r="P91" i="23" s="1"/>
  <c r="F91" i="23"/>
  <c r="K46" i="25" s="1"/>
  <c r="B72" i="25" s="1"/>
  <c r="B71" i="25" s="1"/>
  <c r="O91" i="23" l="1"/>
  <c r="K45" i="25"/>
  <c r="K49" i="25" s="1"/>
  <c r="K50" i="25" s="1"/>
  <c r="E46" i="25"/>
  <c r="B62" i="25" s="1"/>
  <c r="B61" i="25" s="1"/>
  <c r="E45" i="25" l="1"/>
  <c r="E49" i="25" s="1"/>
  <c r="E5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author>
    <author>MAG CONSULTORIA SAS</author>
    <author>Andrea Laguna</author>
  </authors>
  <commentList>
    <comment ref="N6" authorId="0" shapeId="0" xr:uid="{00000000-0006-0000-0400-000001000000}">
      <text>
        <r>
          <rPr>
            <sz val="9"/>
            <color indexed="81"/>
            <rFont val="Tahoma"/>
            <family val="2"/>
          </rPr>
          <t xml:space="preserve">No borrar. Hace parte de una fórmula.
</t>
        </r>
      </text>
    </comment>
    <comment ref="D121" authorId="1" shapeId="0" xr:uid="{00000000-0006-0000-0400-000002000000}">
      <text>
        <r>
          <rPr>
            <b/>
            <sz val="9"/>
            <color indexed="81"/>
            <rFont val="Tahoma"/>
            <family val="2"/>
          </rPr>
          <t>MAG CONSULTORIA SAS:</t>
        </r>
        <r>
          <rPr>
            <sz val="9"/>
            <color indexed="81"/>
            <rFont val="Tahoma"/>
            <family val="2"/>
          </rPr>
          <t xml:space="preserve">
Es el piso</t>
        </r>
      </text>
    </comment>
    <comment ref="E121" authorId="1" shapeId="0" xr:uid="{00000000-0006-0000-0400-000003000000}">
      <text>
        <r>
          <rPr>
            <b/>
            <sz val="9"/>
            <color indexed="81"/>
            <rFont val="Tahoma"/>
            <family val="2"/>
          </rPr>
          <t>MAG CONSULTORIA SAS:</t>
        </r>
        <r>
          <rPr>
            <sz val="9"/>
            <color indexed="81"/>
            <rFont val="Tahoma"/>
            <family val="2"/>
          </rPr>
          <t xml:space="preserve">
Este valor es el piso</t>
        </r>
      </text>
    </comment>
    <comment ref="C153" authorId="2" shapeId="0" xr:uid="{00000000-0006-0000-0400-000004000000}">
      <text>
        <r>
          <rPr>
            <b/>
            <sz val="9"/>
            <color indexed="81"/>
            <rFont val="Tahoma"/>
            <family val="2"/>
          </rPr>
          <t>Andrea Laguna:</t>
        </r>
        <r>
          <rPr>
            <sz val="9"/>
            <color indexed="81"/>
            <rFont val="Tahoma"/>
            <family val="2"/>
          </rPr>
          <t xml:space="preserve">
Se ajustó el dato de referencia con turnos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MAG</author>
    <author>MAG CONSULTORIA SAS</author>
    <author>Andrea Laguna</author>
  </authors>
  <commentList>
    <comment ref="N6" authorId="0" shapeId="0" xr:uid="{00000000-0006-0000-0500-000001000000}">
      <text>
        <r>
          <rPr>
            <sz val="9"/>
            <color indexed="81"/>
            <rFont val="Tahoma"/>
            <family val="2"/>
          </rPr>
          <t xml:space="preserve">No borrar. Hace parte de una fórmula.
</t>
        </r>
      </text>
    </comment>
    <comment ref="D121" authorId="1" shapeId="0" xr:uid="{00000000-0006-0000-0500-000002000000}">
      <text>
        <r>
          <rPr>
            <b/>
            <sz val="9"/>
            <color indexed="81"/>
            <rFont val="Tahoma"/>
            <family val="2"/>
          </rPr>
          <t>MAG CONSULTORIA SAS:</t>
        </r>
        <r>
          <rPr>
            <sz val="9"/>
            <color indexed="81"/>
            <rFont val="Tahoma"/>
            <family val="2"/>
          </rPr>
          <t xml:space="preserve">
Es el piso</t>
        </r>
      </text>
    </comment>
    <comment ref="E121" authorId="1" shapeId="0" xr:uid="{00000000-0006-0000-0500-000003000000}">
      <text>
        <r>
          <rPr>
            <b/>
            <sz val="9"/>
            <color indexed="81"/>
            <rFont val="Tahoma"/>
            <family val="2"/>
          </rPr>
          <t>MAG CONSULTORIA SAS:</t>
        </r>
        <r>
          <rPr>
            <sz val="9"/>
            <color indexed="81"/>
            <rFont val="Tahoma"/>
            <family val="2"/>
          </rPr>
          <t xml:space="preserve">
Este valor es el piso</t>
        </r>
      </text>
    </comment>
    <comment ref="C153" authorId="2" shapeId="0" xr:uid="{00000000-0006-0000-0500-000004000000}">
      <text>
        <r>
          <rPr>
            <b/>
            <sz val="9"/>
            <color indexed="81"/>
            <rFont val="Tahoma"/>
            <family val="2"/>
          </rPr>
          <t>Andrea Laguna:</t>
        </r>
        <r>
          <rPr>
            <sz val="9"/>
            <color indexed="81"/>
            <rFont val="Tahoma"/>
            <family val="2"/>
          </rPr>
          <t xml:space="preserve">
Se ajustó el dato de referencia con turnos</t>
        </r>
      </text>
    </comment>
    <comment ref="M164" authorId="1" shapeId="0" xr:uid="{00000000-0006-0000-0500-000005000000}">
      <text>
        <r>
          <rPr>
            <b/>
            <sz val="9"/>
            <color indexed="81"/>
            <rFont val="Tahoma"/>
            <family val="2"/>
          </rPr>
          <t>MAG CONSULTORIA SAS:</t>
        </r>
        <r>
          <rPr>
            <sz val="9"/>
            <color indexed="81"/>
            <rFont val="Tahoma"/>
            <family val="2"/>
          </rPr>
          <t xml:space="preserve">
Eficiencia 24 tons/hora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Laguna</author>
  </authors>
  <commentList>
    <comment ref="F26" authorId="0" shapeId="0" xr:uid="{00000000-0006-0000-0900-000001000000}">
      <text>
        <r>
          <rPr>
            <b/>
            <sz val="9"/>
            <color indexed="81"/>
            <rFont val="Tahoma"/>
            <family val="2"/>
          </rPr>
          <t>Andrea Laguna:</t>
        </r>
        <r>
          <rPr>
            <sz val="9"/>
            <color indexed="81"/>
            <rFont val="Tahoma"/>
            <family val="2"/>
          </rPr>
          <t xml:space="preserve">
La referencia en distancia se modificó de 2,96 a 2,86 para que concordara
Además se corrige recolección=0 en combinación triciclo con camión</t>
        </r>
      </text>
    </comment>
    <comment ref="F31" authorId="0" shapeId="0" xr:uid="{00000000-0006-0000-0900-000002000000}">
      <text>
        <r>
          <rPr>
            <b/>
            <sz val="9"/>
            <color indexed="81"/>
            <rFont val="Tahoma"/>
            <family val="2"/>
          </rPr>
          <t>Andrea Laguna:</t>
        </r>
        <r>
          <rPr>
            <sz val="9"/>
            <color indexed="81"/>
            <rFont val="Tahoma"/>
            <family val="2"/>
          </rPr>
          <t xml:space="preserve">
Se adiciona factor para el consumo de combustible en recolección cuando se toma gal/hr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Laguna</author>
  </authors>
  <commentList>
    <comment ref="F26" authorId="0" shapeId="0" xr:uid="{00000000-0006-0000-0A00-000001000000}">
      <text>
        <r>
          <rPr>
            <b/>
            <sz val="9"/>
            <color indexed="81"/>
            <rFont val="Tahoma"/>
            <family val="2"/>
          </rPr>
          <t>Andrea Laguna:</t>
        </r>
        <r>
          <rPr>
            <sz val="9"/>
            <color indexed="81"/>
            <rFont val="Tahoma"/>
            <family val="2"/>
          </rPr>
          <t xml:space="preserve">
La referencia en distancia se modificó de 2,96 a 2,86 para que concordara
Además se corrige recolección=0 en combinación triciclo con camión</t>
        </r>
      </text>
    </comment>
    <comment ref="F31" authorId="0" shapeId="0" xr:uid="{00000000-0006-0000-0A00-000002000000}">
      <text>
        <r>
          <rPr>
            <b/>
            <sz val="9"/>
            <color indexed="81"/>
            <rFont val="Tahoma"/>
            <family val="2"/>
          </rPr>
          <t>Andrea Laguna:</t>
        </r>
        <r>
          <rPr>
            <sz val="9"/>
            <color indexed="81"/>
            <rFont val="Tahoma"/>
            <family val="2"/>
          </rPr>
          <t xml:space="preserve">
Se adiciona factor para el consumo de combustible en recolección cuando se toma gal/hr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Laguna</author>
  </authors>
  <commentList>
    <comment ref="F26" authorId="0" shapeId="0" xr:uid="{00000000-0006-0000-0B00-000001000000}">
      <text>
        <r>
          <rPr>
            <b/>
            <sz val="9"/>
            <color indexed="81"/>
            <rFont val="Tahoma"/>
            <family val="2"/>
          </rPr>
          <t>Andrea Laguna:</t>
        </r>
        <r>
          <rPr>
            <sz val="9"/>
            <color indexed="81"/>
            <rFont val="Tahoma"/>
            <family val="2"/>
          </rPr>
          <t xml:space="preserve">
La referencia en distancia se modificó de 2,96 a 2,86 para que concordara
Además se corrige recolección=0 en combinación triciclo con camión</t>
        </r>
      </text>
    </comment>
    <comment ref="F31" authorId="0" shapeId="0" xr:uid="{00000000-0006-0000-0B00-000002000000}">
      <text>
        <r>
          <rPr>
            <b/>
            <sz val="9"/>
            <color indexed="81"/>
            <rFont val="Tahoma"/>
            <family val="2"/>
          </rPr>
          <t>Andrea Laguna:</t>
        </r>
        <r>
          <rPr>
            <sz val="9"/>
            <color indexed="81"/>
            <rFont val="Tahoma"/>
            <family val="2"/>
          </rPr>
          <t xml:space="preserve">
Se adiciona factor para el consumo de combustible en recolección cuando se toma gal/hr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Andrea Laguna</author>
  </authors>
  <commentList>
    <comment ref="F26" authorId="0" shapeId="0" xr:uid="{00000000-0006-0000-0C00-000001000000}">
      <text>
        <r>
          <rPr>
            <b/>
            <sz val="9"/>
            <color indexed="81"/>
            <rFont val="Tahoma"/>
            <family val="2"/>
          </rPr>
          <t>Andrea Laguna:</t>
        </r>
        <r>
          <rPr>
            <sz val="9"/>
            <color indexed="81"/>
            <rFont val="Tahoma"/>
            <family val="2"/>
          </rPr>
          <t xml:space="preserve">
La referencia en distancia se modificó de 2,96 a 2,86 para que concordara
Además se corrige recolección=0 en combinación triciclo con camión</t>
        </r>
      </text>
    </comment>
    <comment ref="F31" authorId="0" shapeId="0" xr:uid="{00000000-0006-0000-0C00-000002000000}">
      <text>
        <r>
          <rPr>
            <b/>
            <sz val="9"/>
            <color indexed="81"/>
            <rFont val="Tahoma"/>
            <family val="2"/>
          </rPr>
          <t>Andrea Laguna:</t>
        </r>
        <r>
          <rPr>
            <sz val="9"/>
            <color indexed="81"/>
            <rFont val="Tahoma"/>
            <family val="2"/>
          </rPr>
          <t xml:space="preserve">
Se adiciona factor para el consumo de combustible en recolección cuando se toma gal/hr</t>
        </r>
      </text>
    </comment>
  </commentList>
</comments>
</file>

<file path=xl/sharedStrings.xml><?xml version="1.0" encoding="utf-8"?>
<sst xmlns="http://schemas.openxmlformats.org/spreadsheetml/2006/main" count="3276" uniqueCount="949">
  <si>
    <t>País</t>
  </si>
  <si>
    <t>Región</t>
  </si>
  <si>
    <t>Orgánico</t>
  </si>
  <si>
    <t>Papel</t>
  </si>
  <si>
    <t>Cartón</t>
  </si>
  <si>
    <t>Plástico</t>
  </si>
  <si>
    <t>Vidrio</t>
  </si>
  <si>
    <t>Metal</t>
  </si>
  <si>
    <t>Otros</t>
  </si>
  <si>
    <t>Total</t>
  </si>
  <si>
    <t>Seleccione un país</t>
  </si>
  <si>
    <t>Antigua y Barbuda</t>
  </si>
  <si>
    <t>El Caribe</t>
  </si>
  <si>
    <t>Argentina</t>
  </si>
  <si>
    <t>América del Sur</t>
  </si>
  <si>
    <t>Aruba</t>
  </si>
  <si>
    <t>Bahamas</t>
  </si>
  <si>
    <t>Barbados</t>
  </si>
  <si>
    <t>Belice</t>
  </si>
  <si>
    <t>América Central</t>
  </si>
  <si>
    <t>Bolivia</t>
  </si>
  <si>
    <t>Brasil</t>
  </si>
  <si>
    <t>Colombia</t>
  </si>
  <si>
    <t>Costa Rica</t>
  </si>
  <si>
    <t>Cuba</t>
  </si>
  <si>
    <t>Chile</t>
  </si>
  <si>
    <t>Dominica</t>
  </si>
  <si>
    <t>Ecuador</t>
  </si>
  <si>
    <t>El Salvador</t>
  </si>
  <si>
    <t>Granada</t>
  </si>
  <si>
    <t>Guadalupe</t>
  </si>
  <si>
    <t>Guatemala</t>
  </si>
  <si>
    <t>Guyana</t>
  </si>
  <si>
    <t>Guyana Francesa</t>
  </si>
  <si>
    <t>Haití</t>
  </si>
  <si>
    <t>Honduras</t>
  </si>
  <si>
    <t>Islas Caimán</t>
  </si>
  <si>
    <t>Islas Turcas y Caicos</t>
  </si>
  <si>
    <t>Islas Vírgenes</t>
  </si>
  <si>
    <t>Jamaica</t>
  </si>
  <si>
    <t>Martinica</t>
  </si>
  <si>
    <t>México</t>
  </si>
  <si>
    <t>América del Norte</t>
  </si>
  <si>
    <t>Nicaragua</t>
  </si>
  <si>
    <t>Panamá</t>
  </si>
  <si>
    <t>Paraguay</t>
  </si>
  <si>
    <t>Perú</t>
  </si>
  <si>
    <t>Puerto Rico</t>
  </si>
  <si>
    <t>República Dominicana</t>
  </si>
  <si>
    <t>San Bartolomé</t>
  </si>
  <si>
    <t>San Cristóbal y Nieves</t>
  </si>
  <si>
    <t>San Vicente y las Granadinas</t>
  </si>
  <si>
    <t>Santa Lucía</t>
  </si>
  <si>
    <t>Suriname</t>
  </si>
  <si>
    <t>Trinidad y Tobago</t>
  </si>
  <si>
    <t>Uruguay</t>
  </si>
  <si>
    <t>Venezuela</t>
  </si>
  <si>
    <t>Promedio LAC</t>
  </si>
  <si>
    <t>LAC</t>
  </si>
  <si>
    <t>Composición de los residuos</t>
  </si>
  <si>
    <t>Ciudad</t>
  </si>
  <si>
    <t>Formulario de datos generales</t>
  </si>
  <si>
    <t>Moneda para cálculos</t>
  </si>
  <si>
    <t>Moneda</t>
  </si>
  <si>
    <t>Moneda local</t>
  </si>
  <si>
    <t>Dólar</t>
  </si>
  <si>
    <t>Tasa de cambio</t>
  </si>
  <si>
    <t>Cantidad y composición de materiales reciclables</t>
  </si>
  <si>
    <t>Opción 1</t>
  </si>
  <si>
    <t>Opción 2</t>
  </si>
  <si>
    <t>Opción 3</t>
  </si>
  <si>
    <t>Composición de residuos</t>
  </si>
  <si>
    <t>Otros reciclables</t>
  </si>
  <si>
    <t>Tipo de material</t>
  </si>
  <si>
    <t>Composición</t>
  </si>
  <si>
    <t>Densidad</t>
  </si>
  <si>
    <t>Datos propios</t>
  </si>
  <si>
    <t>Datos de referencia</t>
  </si>
  <si>
    <t>Densidad Típica</t>
  </si>
  <si>
    <t>Fecha de cálculo (dd/mm/aaaa)</t>
  </si>
  <si>
    <t>Formulario de datos para recicladores</t>
  </si>
  <si>
    <t>Recolección y transporte</t>
  </si>
  <si>
    <t>DATOS GENERALES</t>
  </si>
  <si>
    <t>Tipo de vehículo</t>
  </si>
  <si>
    <t>Tipo de equipo para la recolección</t>
  </si>
  <si>
    <t>Vehículo motorizado pequeño</t>
  </si>
  <si>
    <t>Tipo</t>
  </si>
  <si>
    <t>Seleccione un vehículo</t>
  </si>
  <si>
    <t>Tiempo de transporte, ida y regreso (horas)</t>
  </si>
  <si>
    <t>Tiempo de recolección (horas)</t>
  </si>
  <si>
    <t>Tiempo de alistamiento (horas)</t>
  </si>
  <si>
    <t>Tiempo en sitio de descarga (horas)</t>
  </si>
  <si>
    <t>Número de operarios de recolección</t>
  </si>
  <si>
    <t>Número de conductores</t>
  </si>
  <si>
    <t>Porcentaje de equipos de respaldo</t>
  </si>
  <si>
    <t>Vida útil de vehículos / equipos (años)</t>
  </si>
  <si>
    <t>Consumo de combustible</t>
  </si>
  <si>
    <t>Información Laboral General</t>
  </si>
  <si>
    <t>Número de días laborales al mes</t>
  </si>
  <si>
    <t>Número de turnos laborales por día</t>
  </si>
  <si>
    <t>Número de horas por turno</t>
  </si>
  <si>
    <t>Número de supervisores por cada 20 operarios</t>
  </si>
  <si>
    <t>Tipo recolección seleccionada</t>
  </si>
  <si>
    <t>Digite el valor</t>
  </si>
  <si>
    <t>Valor de Referencia</t>
  </si>
  <si>
    <t>Capacidad efectiva del vehículo</t>
  </si>
  <si>
    <t>Gal/Km</t>
  </si>
  <si>
    <t>Gal/hr</t>
  </si>
  <si>
    <t>km</t>
  </si>
  <si>
    <t>hr</t>
  </si>
  <si>
    <t>Cantidad</t>
  </si>
  <si>
    <t>Valor de referencia</t>
  </si>
  <si>
    <t>Velocidad (km/hr)</t>
  </si>
  <si>
    <t>Longitud (km)</t>
  </si>
  <si>
    <t>Seleccione</t>
  </si>
  <si>
    <t>vel</t>
  </si>
  <si>
    <t>long</t>
  </si>
  <si>
    <t>Información laboral</t>
  </si>
  <si>
    <t>Escenario de cálculo</t>
  </si>
  <si>
    <t>Escenario 1</t>
  </si>
  <si>
    <t>Prestador</t>
  </si>
  <si>
    <t>Centro de acopio</t>
  </si>
  <si>
    <t xml:space="preserve">Actividad </t>
  </si>
  <si>
    <t>Separación y clasificación</t>
  </si>
  <si>
    <t>Linea base</t>
  </si>
  <si>
    <t>Organización de recicladores</t>
  </si>
  <si>
    <t>Escenario 2</t>
  </si>
  <si>
    <t>Escenario 3</t>
  </si>
  <si>
    <t>Salario Bruto Mensual ($/trabajador-mes)</t>
  </si>
  <si>
    <t>Otros Auxilios Mensuales (Ejm. Transporte) ($/trabajador-mes)</t>
  </si>
  <si>
    <t>Aportes y pagos legales del empleador (%/salario bruto)</t>
  </si>
  <si>
    <t>Aportes convencionales o extralegales (%/salario bruto)</t>
  </si>
  <si>
    <t>Suplencia laboral (%/salario bruto)</t>
  </si>
  <si>
    <t>Capacitación y bienestar (%/salario bruto)</t>
  </si>
  <si>
    <t>Conductor</t>
  </si>
  <si>
    <t>Valor de dotación promedio mensual por persona ($/trabajador-mes)</t>
  </si>
  <si>
    <t>Tipo de costo</t>
  </si>
  <si>
    <t>Prestador del servicio de limpieza urbana</t>
  </si>
  <si>
    <t>Información de Inversiones</t>
  </si>
  <si>
    <t>Valor</t>
  </si>
  <si>
    <t>Operario de recolección del vehículo motorizado</t>
  </si>
  <si>
    <t>Operario de recolección vehículo motorizado</t>
  </si>
  <si>
    <t>1. Recolección y transporte</t>
  </si>
  <si>
    <t>Información de Costos Fijos</t>
  </si>
  <si>
    <t>Información de Costos Variables</t>
  </si>
  <si>
    <t>Descripción</t>
  </si>
  <si>
    <t>Ref</t>
  </si>
  <si>
    <t>Variables y parámetros para centros de acopio de materiales reciclables</t>
  </si>
  <si>
    <t>Capacidad excedente anual</t>
  </si>
  <si>
    <t>Definición de parámetros</t>
  </si>
  <si>
    <t>Capacidad de contenedores móviles (Ton)</t>
  </si>
  <si>
    <t>Porcentaje de rechazo en centro de acopio (%)</t>
  </si>
  <si>
    <t>Vida útil de maquinaria y equipos (años)</t>
  </si>
  <si>
    <t>Contenedores</t>
  </si>
  <si>
    <t>Información laboral general</t>
  </si>
  <si>
    <t>Elija una opción para la cantidad de operarios de separación</t>
  </si>
  <si>
    <t>Cantidad de operarios</t>
  </si>
  <si>
    <t>Indicar la cantidad</t>
  </si>
  <si>
    <t>Calcular la cantidad</t>
  </si>
  <si>
    <t>Supervisor</t>
  </si>
  <si>
    <t>Operario de separación</t>
  </si>
  <si>
    <t>Coordinador operativo del centro de acopio</t>
  </si>
  <si>
    <t>Costo de la recolección y transporte</t>
  </si>
  <si>
    <t>Disposición final</t>
  </si>
  <si>
    <t>Información de inversiones en el centro de acopio</t>
  </si>
  <si>
    <t>Unidad</t>
  </si>
  <si>
    <t>Costo de estudios y diseños</t>
  </si>
  <si>
    <t>$/global</t>
  </si>
  <si>
    <t>Instalaciones generales</t>
  </si>
  <si>
    <t>Administrativas</t>
  </si>
  <si>
    <t>$/m2</t>
  </si>
  <si>
    <t>Operativas</t>
  </si>
  <si>
    <t>Maquinaria y equipo</t>
  </si>
  <si>
    <t>Bascula camionera</t>
  </si>
  <si>
    <t>$/Unidad</t>
  </si>
  <si>
    <t>Bascula manual</t>
  </si>
  <si>
    <t>Tolva de recepción</t>
  </si>
  <si>
    <t>Contenedor de recepción</t>
  </si>
  <si>
    <t>Contenedores móviles</t>
  </si>
  <si>
    <t>Banda transportadora (1.2 m ancho)</t>
  </si>
  <si>
    <t>$/m</t>
  </si>
  <si>
    <t>Banda transportadora elevación</t>
  </si>
  <si>
    <t>Rompe bolsas</t>
  </si>
  <si>
    <t>Separador magnético</t>
  </si>
  <si>
    <t>Separador de aire</t>
  </si>
  <si>
    <t>Separador óptico</t>
  </si>
  <si>
    <t>Embaladora / compactadora / prensa</t>
  </si>
  <si>
    <t>Mini cargador</t>
  </si>
  <si>
    <t>Electroimán</t>
  </si>
  <si>
    <t>Mesa de clasificación</t>
  </si>
  <si>
    <t>Señalización</t>
  </si>
  <si>
    <t>$/Global</t>
  </si>
  <si>
    <t>Sistema de control de olores</t>
  </si>
  <si>
    <t>Extractor</t>
  </si>
  <si>
    <t>Prevención y control incendios</t>
  </si>
  <si>
    <t>Planta eléctrica</t>
  </si>
  <si>
    <t>Carretilla manual de carga</t>
  </si>
  <si>
    <t>Otros equipos</t>
  </si>
  <si>
    <t>Valor Unitario</t>
  </si>
  <si>
    <t xml:space="preserve">Cantidad </t>
  </si>
  <si>
    <t>Costos de operación</t>
  </si>
  <si>
    <t>Mantenimiento de maquinaria y equipo</t>
  </si>
  <si>
    <t>Mantenimiento de instalaciones</t>
  </si>
  <si>
    <t>Valor de dotación mensual por persona ($/trabajador-mes)</t>
  </si>
  <si>
    <t>Arrendamiento (alquiler) de bodega</t>
  </si>
  <si>
    <t>Costo fijo mensual por centro de acopio</t>
  </si>
  <si>
    <t>% de los costos directos (ambas actividades)</t>
  </si>
  <si>
    <t>Información de Costos de Administración</t>
  </si>
  <si>
    <t>Gastos de administración</t>
  </si>
  <si>
    <t>3. Gastos de Administración y Capital de Trabajo</t>
  </si>
  <si>
    <t xml:space="preserve">Costo pormedio ponderado de capital </t>
  </si>
  <si>
    <t>Ciclo de Efectivo</t>
  </si>
  <si>
    <t>Vehículo motorizado mediano</t>
  </si>
  <si>
    <t>Información para que la herramienta calcule la cantidad de vehículos, operarios de recolección y conductores</t>
  </si>
  <si>
    <t>DATOS BÁSICOS</t>
  </si>
  <si>
    <t>INFORMACIÓN DE RESIDUOS SÓLIDOS</t>
  </si>
  <si>
    <t>Indique el (los) escenario (s) de cálculo que desea estimar en la herramienta</t>
  </si>
  <si>
    <t>Elija un tipo de equipo para la recolección:</t>
  </si>
  <si>
    <t>Diligencie la información en las celdas de color gris</t>
  </si>
  <si>
    <t>CANTIDAD DE MATERIALES RECICLABLES A MANEJAR</t>
  </si>
  <si>
    <t>Composición en TON</t>
  </si>
  <si>
    <t>Material</t>
  </si>
  <si>
    <t>Valor definitivo (ton/año)</t>
  </si>
  <si>
    <t>RECOLECCIÓN</t>
  </si>
  <si>
    <t>Consumo Gal/Km</t>
  </si>
  <si>
    <t>Velocidad (km/hr) de Recolección</t>
  </si>
  <si>
    <t>Velocidad (km/hr) de Transporte</t>
  </si>
  <si>
    <t>Capacidad efectiva (Ton)</t>
  </si>
  <si>
    <t>Capacidad efectiva (m3)</t>
  </si>
  <si>
    <t>Tiempo transporte (total) (Suma los demás)</t>
  </si>
  <si>
    <t>Vida útil de los equipos</t>
  </si>
  <si>
    <t>Longitud Recolección (km)</t>
  </si>
  <si>
    <t>Longitud Transporte (km)</t>
  </si>
  <si>
    <t>Días laborales</t>
  </si>
  <si>
    <t>Valor USD</t>
  </si>
  <si>
    <t>Valor moneda de cálculo</t>
  </si>
  <si>
    <t>Personal</t>
  </si>
  <si>
    <t>Sin valor</t>
  </si>
  <si>
    <t>Mantenimiento</t>
  </si>
  <si>
    <t>Costo fijo</t>
  </si>
  <si>
    <t>Tiempo total de viaje (Horas)</t>
  </si>
  <si>
    <t>Tiempo de recolección</t>
  </si>
  <si>
    <t>Tiempo de transporte (ida y regreso)</t>
  </si>
  <si>
    <t>Tiempo de alistamiento</t>
  </si>
  <si>
    <t>Tiempo en sitio de descarga</t>
  </si>
  <si>
    <t>Operarios</t>
  </si>
  <si>
    <t>Conductores</t>
  </si>
  <si>
    <t>Número de viajes / mes</t>
  </si>
  <si>
    <t>Número de viajes / turno</t>
  </si>
  <si>
    <t>Número de vehículos / mes</t>
  </si>
  <si>
    <t>Número de vehículos respaldo / mes</t>
  </si>
  <si>
    <t>Número total de vehículos / mes</t>
  </si>
  <si>
    <t>Número de cuadrillas requeridas</t>
  </si>
  <si>
    <t>Estimación de recursos a partir de la herramienta</t>
  </si>
  <si>
    <t xml:space="preserve">Tiempos </t>
  </si>
  <si>
    <t>TON/AÑO</t>
  </si>
  <si>
    <t>TON/MES</t>
  </si>
  <si>
    <t>Tipo de recolección</t>
  </si>
  <si>
    <t>Cantidad de vehículos/mes</t>
  </si>
  <si>
    <t>Galones totales</t>
  </si>
  <si>
    <t>Longitud Recolección (km/viaje)</t>
  </si>
  <si>
    <t>Longitud Transporte (km/viaje)</t>
  </si>
  <si>
    <t>FACTOR AJUSTE DE COMBUSTIBLE</t>
  </si>
  <si>
    <t>Galones recolección/mes</t>
  </si>
  <si>
    <t>Galones transporte/mes</t>
  </si>
  <si>
    <t>Gasto de combustible</t>
  </si>
  <si>
    <t>Consumo de combustible (Gal/mes)</t>
  </si>
  <si>
    <t>Valor Unit</t>
  </si>
  <si>
    <t>Valor total</t>
  </si>
  <si>
    <t>Consumo Gal/hr (transporte)</t>
  </si>
  <si>
    <t>Consumo Gal/hr (recolección)</t>
  </si>
  <si>
    <t>Factor consumo galon recolección</t>
  </si>
  <si>
    <t>Vida útil</t>
  </si>
  <si>
    <t>Cantidad de contenedores (si se requiere)</t>
  </si>
  <si>
    <t>Vida útil de los contenedores</t>
  </si>
  <si>
    <t>Valor/unitario</t>
  </si>
  <si>
    <t>M3/AÑO</t>
  </si>
  <si>
    <t>M3/MES</t>
  </si>
  <si>
    <t>Ton/año||m3/año</t>
  </si>
  <si>
    <t>Ton/mes||m3/mes</t>
  </si>
  <si>
    <t>WACC</t>
  </si>
  <si>
    <t>Referencia</t>
  </si>
  <si>
    <t>% EA</t>
  </si>
  <si>
    <t>días</t>
  </si>
  <si>
    <t>Información del costo del capital</t>
  </si>
  <si>
    <t>WACC Mensual</t>
  </si>
  <si>
    <t>Recursos indicados por el usuario</t>
  </si>
  <si>
    <t>Valores de entrada generales</t>
  </si>
  <si>
    <t>Fuente</t>
  </si>
  <si>
    <t>FUENTE DE FINANCIACIÓN</t>
  </si>
  <si>
    <t>Costos fijos</t>
  </si>
  <si>
    <t>Costos de inversión y preinversión</t>
  </si>
  <si>
    <t>Costos variables</t>
  </si>
  <si>
    <t>Costos de personal</t>
  </si>
  <si>
    <t>Capital de trabajo</t>
  </si>
  <si>
    <t>COSTO TOTAL MENSUAL</t>
  </si>
  <si>
    <t>Costos totales</t>
  </si>
  <si>
    <t>Información de costos de personal</t>
  </si>
  <si>
    <t>Valores /mes</t>
  </si>
  <si>
    <t>Valor/mes</t>
  </si>
  <si>
    <t>2. Centro de acopio</t>
  </si>
  <si>
    <t>Capacidad total (Suma de los centros)</t>
  </si>
  <si>
    <t>Establecer tamaño (ton/año)</t>
  </si>
  <si>
    <t>Indicar cantiad de centros de acopio (ton/año)</t>
  </si>
  <si>
    <t>CENTRO DE ACOPIO</t>
  </si>
  <si>
    <t>Ton/mes por centro</t>
  </si>
  <si>
    <t>Centros de acopio menores a 1.500 ton</t>
  </si>
  <si>
    <t>Aspecto</t>
  </si>
  <si>
    <t>Porcentaje de rechazo</t>
  </si>
  <si>
    <t>Rendimientos de clasificación ton/ope-turno</t>
  </si>
  <si>
    <t>Capaciad de contenedores móviles ton</t>
  </si>
  <si>
    <t>Gastos Admn - Porcentaje sobre costos directos</t>
  </si>
  <si>
    <t>Arrendamiento de bodega (USD/m2-mes)</t>
  </si>
  <si>
    <t>Operación de maquinaria y equipo (USD/Ton)</t>
  </si>
  <si>
    <t>CONCEPTO</t>
  </si>
  <si>
    <t>Estudios y diseños</t>
  </si>
  <si>
    <t>Admministrativas</t>
  </si>
  <si>
    <t>Maquinaria y Equipos</t>
  </si>
  <si>
    <t>Banda transportadora para elevación de residuos</t>
  </si>
  <si>
    <t>Rompebolsas</t>
  </si>
  <si>
    <t>Minicargador</t>
  </si>
  <si>
    <t>Electroiman</t>
  </si>
  <si>
    <t>Sistema de prevención y control de incendios</t>
  </si>
  <si>
    <t>Centros de acopioentre 1.500 ton y 15.000</t>
  </si>
  <si>
    <t>Centros de acopio mayores a 15000</t>
  </si>
  <si>
    <t>Factor act</t>
  </si>
  <si>
    <t>Moneda local unitario pequeño</t>
  </si>
  <si>
    <t>Dólar unitario pequeño</t>
  </si>
  <si>
    <t>Dólar total pequeño</t>
  </si>
  <si>
    <t>Cantidad pequeño</t>
  </si>
  <si>
    <t>Moneda local total pequeño</t>
  </si>
  <si>
    <t>Cantidad mediano</t>
  </si>
  <si>
    <t>Dólar unitario mediano</t>
  </si>
  <si>
    <t>Dólar total mediano</t>
  </si>
  <si>
    <t>Moneda local unitario mediano</t>
  </si>
  <si>
    <t>Moneda local total mediano</t>
  </si>
  <si>
    <t>Cantidad grande</t>
  </si>
  <si>
    <t>Dólar unitario grande</t>
  </si>
  <si>
    <t>Dólar total grande</t>
  </si>
  <si>
    <t>Moneda local unitario grande</t>
  </si>
  <si>
    <t>Moneda local total grande</t>
  </si>
  <si>
    <t>Ton/m2-mes</t>
  </si>
  <si>
    <t>TON/HORA</t>
  </si>
  <si>
    <t>Operario Separación y Embalaje</t>
  </si>
  <si>
    <t>Operario Báscula y Minicargador</t>
  </si>
  <si>
    <t>Coordinador Operativo</t>
  </si>
  <si>
    <t>TOTAL PERSONAL MENSUAL</t>
  </si>
  <si>
    <t xml:space="preserve">Número de días laborales </t>
  </si>
  <si>
    <t>Número de turnos laborales al mes</t>
  </si>
  <si>
    <t>Cantidad de supervisores</t>
  </si>
  <si>
    <t>Supervisores</t>
  </si>
  <si>
    <t>Total personal</t>
  </si>
  <si>
    <t>Ton/hora por centro</t>
  </si>
  <si>
    <t>Cantidad de centros</t>
  </si>
  <si>
    <t>Costos laborales</t>
  </si>
  <si>
    <t>Operario de separación, embalaje, báscula y minicargador</t>
  </si>
  <si>
    <t>Cantidad de supervisores por c/20 operarios</t>
  </si>
  <si>
    <t>Operarios (sep, básc, emb, minicargador)</t>
  </si>
  <si>
    <t>Indique el valor</t>
  </si>
  <si>
    <t>$/m2 al mes</t>
  </si>
  <si>
    <t>Valor mes</t>
  </si>
  <si>
    <t>Arriendo</t>
  </si>
  <si>
    <t>Costo fijo mensual</t>
  </si>
  <si>
    <t>Cargo</t>
  </si>
  <si>
    <t>$/ton</t>
  </si>
  <si>
    <t>3. Ingresos</t>
  </si>
  <si>
    <t>4. Ingresos</t>
  </si>
  <si>
    <t>Ingreso por comercialización de materiales reciclables</t>
  </si>
  <si>
    <t>Precio que paga la industria</t>
  </si>
  <si>
    <t>INGRESOS</t>
  </si>
  <si>
    <t>Valor moneda local</t>
  </si>
  <si>
    <t>Recolección y transporte $/ton</t>
  </si>
  <si>
    <t>Centro de acopio ($/ton)</t>
  </si>
  <si>
    <t>Remuneración adicional para recicladores</t>
  </si>
  <si>
    <t>Variable $/ton</t>
  </si>
  <si>
    <t>Fija $/mes</t>
  </si>
  <si>
    <t>Parte variable ($/ton) parte fija ($/mes)</t>
  </si>
  <si>
    <t xml:space="preserve">Ingreso por remuneración del servicio </t>
  </si>
  <si>
    <t>Fijo ($/mes)</t>
  </si>
  <si>
    <t>Valor variable</t>
  </si>
  <si>
    <t>Valor fijo</t>
  </si>
  <si>
    <t>RyT y DF</t>
  </si>
  <si>
    <t>CÁLCULO DE COSTOS</t>
  </si>
  <si>
    <t>Línea Base</t>
  </si>
  <si>
    <t>RYT</t>
  </si>
  <si>
    <t>ACOPIO</t>
  </si>
  <si>
    <t>RECOLECCIÓN Y TRANSPORTE</t>
  </si>
  <si>
    <t xml:space="preserve">Operario de recolección </t>
  </si>
  <si>
    <t>Número de vehículos de respaldo</t>
  </si>
  <si>
    <t>Cantidad de centros de acopio</t>
  </si>
  <si>
    <t>Toneladas gestionadas en cada centro de acopio por mes</t>
  </si>
  <si>
    <t>Operario de separación, báscula embalaje y minicargador</t>
  </si>
  <si>
    <t>Trabajadores totales en todos los centros</t>
  </si>
  <si>
    <t>Coordinador operativo</t>
  </si>
  <si>
    <t>Número total de recicladores en cada escenario
(Incluyendo personal en actividades de Recolección, Transporte, Separación y Clasificación)</t>
  </si>
  <si>
    <t>Escenario</t>
  </si>
  <si>
    <t>No aplica</t>
  </si>
  <si>
    <t>Organización de Recicladores</t>
  </si>
  <si>
    <t>Capacidad de los vehículos</t>
  </si>
  <si>
    <t>RESUMEN DE RECURSOS</t>
  </si>
  <si>
    <t>Ingresos</t>
  </si>
  <si>
    <t>Venta de material reciclable</t>
  </si>
  <si>
    <t>Separación, clasificación y enfardado (centro de acopio)</t>
  </si>
  <si>
    <t>ORGANIZACIÓN DE RECICLADORES</t>
  </si>
  <si>
    <t>PRESTADOR</t>
  </si>
  <si>
    <t>Compra de materiales reciclables (en centro de acopio)</t>
  </si>
  <si>
    <t>Valor $/mes</t>
  </si>
  <si>
    <t>Actividad</t>
  </si>
  <si>
    <t>$/mes</t>
  </si>
  <si>
    <t>Compra de material</t>
  </si>
  <si>
    <t>COMPRA DE MATERIAL</t>
  </si>
  <si>
    <t>Venta</t>
  </si>
  <si>
    <t>Remuneración</t>
  </si>
  <si>
    <t>Adicional variable</t>
  </si>
  <si>
    <t>Adcional fija recolección</t>
  </si>
  <si>
    <t>Adicional fija acopio</t>
  </si>
  <si>
    <t>Resultados para el prestador</t>
  </si>
  <si>
    <t>Línea base</t>
  </si>
  <si>
    <t>Características del escenario</t>
  </si>
  <si>
    <t>DATOS MODELADOS</t>
  </si>
  <si>
    <t>Fecha de cálculo</t>
  </si>
  <si>
    <t>Generación anual de residuos</t>
  </si>
  <si>
    <t>Total (ton/año)</t>
  </si>
  <si>
    <t>Escenario de menor costo</t>
  </si>
  <si>
    <t>Municipio</t>
  </si>
  <si>
    <t>Resultado</t>
  </si>
  <si>
    <t xml:space="preserve">Municipio </t>
  </si>
  <si>
    <t>MODELO PARA LA ESTIMACIÓN DE COSTOS DE LA GESTIÓN DE RESIDUOS RECICLABLES CON INCLUSIÓN DE RECICLADORES</t>
  </si>
  <si>
    <t>Herramienta para el análisis de costos asociados a diferentes niveles de inclusión de recicladores, de utilidad en la toma de decisiones para la estructuración de sistemas de gestión integral de residuos sólidos para los países de la región América Latina y el Caribe.</t>
  </si>
  <si>
    <t>División de Agua y Saneamiento del Banco Interamericano de Desarrollo, BID</t>
  </si>
  <si>
    <t>Trabajo elaborado en el marco de la Iniciativa Regional para el Reciclaje Inclusivo (IRR)</t>
  </si>
  <si>
    <t>Versión 2</t>
  </si>
  <si>
    <t>Estimación de costos para la gestión de residuos reciclables</t>
  </si>
  <si>
    <t>Equipo de tracción manual</t>
  </si>
  <si>
    <t>Combinación de equipo de tracción manual con camión</t>
  </si>
  <si>
    <t>Número de operarios de recolección por vehículo</t>
  </si>
  <si>
    <t>Diligencie en la siguiente tabla la información de salarios y costos laborales por tipo de trabajador</t>
  </si>
  <si>
    <t>Area de cada centro de acopio (m2)</t>
  </si>
  <si>
    <t>Capacidad total de los centros (ton/año)</t>
  </si>
  <si>
    <t>Capacidad excedente anual (ton/año)</t>
  </si>
  <si>
    <t>Costo del servicio para la recolección y disposición final del material de rechazo</t>
  </si>
  <si>
    <t xml:space="preserve">Operarios de recolección </t>
  </si>
  <si>
    <t>Número total de recicladores
(Incluyendo personal en actividades de Recolección, Transporte, Separación y Clasificación)</t>
  </si>
  <si>
    <t>Toneladas totales a reciclar</t>
  </si>
  <si>
    <t>Cobertura del sistema de recolección mixto (%)</t>
  </si>
  <si>
    <t>Tasa de generación de residuos reciclables(%)</t>
  </si>
  <si>
    <t>Cobertura de recolección de residuos reciclables (%)</t>
  </si>
  <si>
    <t>Producción per cápita de residuos (Kg/hab-día)</t>
  </si>
  <si>
    <t>Ajuste en residuos por presencia de no residenciales(%)</t>
  </si>
  <si>
    <t>Cobertura de recolección de residuos reciclables</t>
  </si>
  <si>
    <t>Cantidad de habitantes</t>
  </si>
  <si>
    <t>Tasa reciclaje Op1 y Op2</t>
  </si>
  <si>
    <t>Tasa reciclaje comp</t>
  </si>
  <si>
    <t>Medida de consumo de combustible</t>
  </si>
  <si>
    <t>Indique la medida de distancia</t>
  </si>
  <si>
    <t>Operario de recolección del Equipo de tracción manual</t>
  </si>
  <si>
    <t>Combinación de Equipo de tracción manual con camión</t>
  </si>
  <si>
    <t>Indique la cantidad de vehículos por tipo de vehículo, el consumo de combustible por cada unidad de vehículo, la vida útil por tipo de vehículo, la cantidad de operarios de recolección por vehículo y la cantidad total de supervisores</t>
  </si>
  <si>
    <t>Operario de recolección Equipo de tracción manual</t>
  </si>
  <si>
    <t>Valor del combustible ($/galón)</t>
  </si>
  <si>
    <t>Costo total/mes vehículo 1</t>
  </si>
  <si>
    <t>Costo total/mes vehículo 2</t>
  </si>
  <si>
    <t>Si conoce las cantidades de vehículos, operarios y conductores haga clic aquí.</t>
  </si>
  <si>
    <t>Indique la medida de la capacidad</t>
  </si>
  <si>
    <t>Volumen (m3)</t>
  </si>
  <si>
    <t>Peso (Toneladas)</t>
  </si>
  <si>
    <t>Cargo del empleado</t>
  </si>
  <si>
    <t>Capacidad efectiva del equipo de tracción manual</t>
  </si>
  <si>
    <t>Organización derecicladores</t>
  </si>
  <si>
    <t>Organiación de recicladores</t>
  </si>
  <si>
    <t>Costo combustible/mes vehículo 1</t>
  </si>
  <si>
    <t>Organización de reciladores</t>
  </si>
  <si>
    <t>Ofbznización de recicladores</t>
  </si>
  <si>
    <t>Fuente gastos de administración</t>
  </si>
  <si>
    <t>Prestador del s de LU</t>
  </si>
  <si>
    <t>Número de vehículos necesarios</t>
  </si>
  <si>
    <t>Cantidad de vehículos totales</t>
  </si>
  <si>
    <t>Cantidad de trabajadores totales</t>
  </si>
  <si>
    <t>INGRESOS ($/año)</t>
  </si>
  <si>
    <t>COSTOS DEL SERVICIO ($/año)</t>
  </si>
  <si>
    <t>Valores para todos los centros</t>
  </si>
  <si>
    <t>INGRESOS Y COSTOS ASOCIADOS AL RECICLAJE ($/ton)- COSTO TOTAL INDEPENDIENTE DEL ACTOR</t>
  </si>
  <si>
    <t>Remuneración adicional</t>
  </si>
  <si>
    <t>Valor de la inversión inicial en el centro de acopio (sin tasa de descuento)</t>
  </si>
  <si>
    <t>Valor de la inversión para la recolección y transporte (sin tasa de descuento)</t>
  </si>
  <si>
    <t>Ingresos ($/ton)</t>
  </si>
  <si>
    <t>Costos ($/ton)</t>
  </si>
  <si>
    <t>Utilidad o pérdida ($/ton)</t>
  </si>
  <si>
    <t>Elección usuario</t>
  </si>
  <si>
    <t>Valor costo</t>
  </si>
  <si>
    <t>Trabajadores por centro</t>
  </si>
  <si>
    <t>PRESTADOR DEL SERVICIO DE LIMPIEZA URBANA</t>
  </si>
  <si>
    <t>MUNICIPIO</t>
  </si>
  <si>
    <t>Valores en $/año</t>
  </si>
  <si>
    <t>UTILIDAD O PÉRDIDA ($/año)</t>
  </si>
  <si>
    <t>Remuneración adicional variable</t>
  </si>
  <si>
    <t>Remuneración adicional fija</t>
  </si>
  <si>
    <t>Resultados Referencias</t>
  </si>
  <si>
    <t>Resultados Usuario</t>
  </si>
  <si>
    <t>RESUMEN DE RESULTADOS PARA GRÁFICAS RESUMEN</t>
  </si>
  <si>
    <t>Inversiones</t>
  </si>
  <si>
    <t>Indique la opción de cálculo para estimar las cantidades de residuos reciclables a manejar</t>
  </si>
  <si>
    <t>Información operativa</t>
  </si>
  <si>
    <t>Indique la fuente de los recursos para los pagos de cada tipo de cargo (sólo es válida una opción)</t>
  </si>
  <si>
    <t>Indique la información de los costos variables para cada tipo de equipo y la fuente de los recursos</t>
  </si>
  <si>
    <t>Diligencie la información requerida sobre los costos de operación y manteimiento de la maquinaria, equipo e instalaciones y seleccione la fuente de los recursos (sólo es válida una opción)</t>
  </si>
  <si>
    <t>Diligencie la información sobre los costos de arrendamiento y demás costos fijos. Seleccione la fuente de los recursos (sólo es válida una opción)</t>
  </si>
  <si>
    <t>Indique el porcentaje sobre los costos directos de los gastos de administración y señale la fuente de los recursos (sólo es válida una opción)</t>
  </si>
  <si>
    <t>Diligencie la información sobre el costo de capital y el ciclo de efectivo</t>
  </si>
  <si>
    <t>Diligencie la información sobre el precio de compra y venta de los materiales reciclables</t>
  </si>
  <si>
    <t>Señale los valores por remuneración del servicio de reciclaje, dependiendo de cada actividad.</t>
  </si>
  <si>
    <t>Indique si existe una remuneración adicional para los recicladores</t>
  </si>
  <si>
    <t>Indique la información de costos fijos para cada uno de los tipos de vehículos</t>
  </si>
  <si>
    <t>Tasa de cambio ($/dólar)</t>
  </si>
  <si>
    <t>Si diligenció la "Información para que la herramienta calcule la cantidad de vehículos, operarios de recolección y conductores" continúe con los costos de personal</t>
  </si>
  <si>
    <t>RECURSOS PARA PRESTACIÓN DEL SERVICIO DE RECOLECCIÓN, TRANSPORTE, SEPARACIÓN, CLASIFICACIÓN Y ENFARDADO DE RESIDUOS RECICLABLES</t>
  </si>
  <si>
    <t>Número de vehículos totales</t>
  </si>
  <si>
    <t>Número de turnos laborales al día</t>
  </si>
  <si>
    <t>Recolección y transporte ($)</t>
  </si>
  <si>
    <t>Centro de acopio ($)</t>
  </si>
  <si>
    <t xml:space="preserve">Cantidad de coordinadores por centro de acopio </t>
  </si>
  <si>
    <t>Cantidad de coordinadores operativos por centro de acopio</t>
  </si>
  <si>
    <t>Indique la composición de residuos reciclables, señale 0% en los casos en que no existan residuos del material indicado (de lo contrario el modelo tomará el valor de referencia)</t>
  </si>
  <si>
    <t>Tasa reciclables</t>
  </si>
  <si>
    <t>Hoja D. Generales</t>
  </si>
  <si>
    <t>Gastos de administración y capital de trabajo</t>
  </si>
  <si>
    <t>Hoja D. Recicladores</t>
  </si>
  <si>
    <t>Hoja D.Prestador</t>
  </si>
  <si>
    <t>Diligenciar siempre</t>
  </si>
  <si>
    <t>No diligenciar</t>
  </si>
  <si>
    <t>Diligenciar</t>
  </si>
  <si>
    <t>No Diligenciar</t>
  </si>
  <si>
    <t>PAÍS</t>
  </si>
  <si>
    <t>Seleccione un país de la lista desplegable. La lista incluye únicamente países de la región América Latina y el Caribe.</t>
  </si>
  <si>
    <t>CIUDAD</t>
  </si>
  <si>
    <t>Diligencie el nombre de la ciudad o municipalidad para la cual efectuará el cálculo haciendo clic en la celda gris continua al campo.</t>
  </si>
  <si>
    <t xml:space="preserve">Elija el tipo de moneda que desea utilizar en los cálculos. Para seleccionar una opción haga clic sobre el círculo que precede el nombre de la alternativa. Si elige moneda local es necesario indicar la tasa de cambio a USD (cantidad en moneda local por cada dólar). </t>
  </si>
  <si>
    <t>Corresponde a la fecha en la cual se efectúa el cálculo. Debe diligenciarse en formato día/mes/año.</t>
  </si>
  <si>
    <t>Tasa de cambio / USD</t>
  </si>
  <si>
    <t>Cantidad en moneda local por un dólar. Indicar el valor vigente a la fecha de cálculo.</t>
  </si>
  <si>
    <t>INFORMACIÓN DE RESIDUOS</t>
  </si>
  <si>
    <t>Indicar las toneladas de residuos a reciclar por año</t>
  </si>
  <si>
    <t xml:space="preserve">Puede hacer uso de esta opción si cuenta con información respecto a la cantidad total de residuos reciclables que se gestionan en la ciudad o municipalidad. Al seleccionar la opción se habilita el siguiente campo: </t>
  </si>
  <si>
    <t>Toneladas a reciclar por año (Ton/año): indique las toneladas de residuos que se estima serán recicladas por año.</t>
  </si>
  <si>
    <t>Estimar a partir de información del sistema de recolección mixto</t>
  </si>
  <si>
    <t>Puede hacer uso de esta opción si no conoce la cantidad de residuos reciclables que se gestionan anualmente. Se estima a partir de la cantidad de residuos mixtos que se recogen en la municipalidad. Una vez se elige esta opción se habilitan los siguientes campos:</t>
  </si>
  <si>
    <t>Residuos recogidos esquema mixto - no recicladores (Ton/año): indique la cantidad de residuos sólidos recolectados por los prestadores del servicio de limpieza urbana (toneladas por año); se asume que en esta cantidad se incluyen tanto los residuos reciclables como los no reciclables.</t>
  </si>
  <si>
    <t>Cobertura del sistema de recolección mixto (%): indique el porcentaje de la población que recibe el servicio de recolección de residuos sólidos, esto es, la proporción (%) de la cantidad de viviendas atendidas en la municipalidad que cuentan con recolección de residuos ordinarios, con respecto a la totalidad de viviendas.</t>
  </si>
  <si>
    <t>Tasa de generación de residuos reciclables (%): indique de acuerdo con la composición de residuos sólidos del municipio, qué porcentaje del total de residuos que se generan son residuos reciclables. Este porcentaje debe ser igual a la suma de los porcentajes que se indican para cada tipo de material en la composición de residuos reciclables.</t>
  </si>
  <si>
    <t>Cobertura de recolección de residuos reciclables (%): indique el porcentaje de residuos reciclables que es recolectado en el municipio tanto por prestadores del servicio de limpieza urbana como por organizaciones de recicladores, respecto al total de residuos reciclables que se generan. Por ejemplo, si en la municipalidad se generan 50.000 toneladas de residuos reciclables anuales y de estos se recolectan 25.000 toneladas anuales, en este campo debe reportarse 50%. Otro ejemplo: si la tasa de generación de residuos reciclables en la municipalidad es 25% y la tasa de reciclaje alcanzada es del 17%, en este campo debe reportarse 68% (calculado como 17% dividido 25%).</t>
  </si>
  <si>
    <t>Estimar a partir de la producción de residuos por habitante día</t>
  </si>
  <si>
    <t>Puede usar esta opción si cuenta con información de la producción per cápita de residuos diaria en la ciudad o municipalidad; se habilitarán los siguientes campos:</t>
  </si>
  <si>
    <t>Producción per cápita de residuos (Kg/hab-día): indique los kilogramos de residuos que en promedio produce cada persona en la ciudad o municipalidad diariamente. Se asume que este dato incluye residuos reciclables y no reciclables.</t>
  </si>
  <si>
    <t>Número de habitantes: indique la cantidad de habitantes de la ciudad o municipalidad.</t>
  </si>
  <si>
    <t>Ajuste en residuos por presencia de no residenciales (%): indique el porcentaje en que debería incrementar la generación de residuos de los hogares por la presencia de industrias, comercio, instituciones, etc. Se pide esta información teniendo en cuenta que la generación de residuos sólidos por parte de los usuarios no residenciales es mayor que la de los hogares. Este porcentaje se usa para incrementar la generación de residuos municipales calculada a partir de la producción per cápita y el número de habitantes.</t>
  </si>
  <si>
    <t>Tasa de generación de residuos reciclables (%): indique de acuerdo con la composición de residuos sólidos del municipio qué porcentaje del total de residuos que se generan son residuos reciclables. Este porcentaje debe ser igual a la suma de los porcentajes que se indican para cada tipo de material en la composición de residuos reciclables.</t>
  </si>
  <si>
    <t>Cobertura de recolección de residuos reciclables (%): indique el porcentaje de residuos reciclables que es recolectado en la ciudad o municipalidad tanto por prestadores del servicio de limpieza urbana como por organizaciones de recicladores, respecto al total de residuos reciclables que se generan. Por ejemplo, si en la municipalidad se generan 50.000 toneladas de residuos reciclables anuales y de estos se recolectan 25.000 toneladas anuales, en este campo debe reportarse 50%. Otro ejemplo: si la tasa de generación de residuos reciclables en la municipalidad es 25% y la tasa de reciclaje alcanzada es del 17%, en este campo debe reportarse 68% (calculado como 17% dividido 25%).</t>
  </si>
  <si>
    <t>Composición %</t>
  </si>
  <si>
    <t>La densidad de los residuos se refiere a la relación entre la masa y el volumen que ocupan. Se pide indicar el dato, si se conoce, en toneladas por metro cúbico para cada tipo de residuo. Si no se diligencian estas casillas el modelo utiliza los valores de referencia. La densidad solicitada en el modelo corresponde al estado del residuo en la recolección, es decir sin compactar o prensar.</t>
  </si>
  <si>
    <t>VARIABLES Y PARÁMETROS PARA RECOLECCIÓN Y TRANSPORTE DE RESIDUOS RECICLABLES</t>
  </si>
  <si>
    <t>Tipo de Equipo</t>
  </si>
  <si>
    <t>Seleccione de la lista desplegable el tipo de vehículo a utilizar para la prestación del servicio de recolección y transporte.
Para recicladores hay cuatro opciones: triciclo (vehículo no motorizado), camión pequeño, camión mediano o combinación de triciclo con camión mediano.
Para prestadores hay dos opciones: camión pequeño o camión mediano.</t>
  </si>
  <si>
    <t>Seleccione una opción para indicar si desea introducir el dato en toneladas o volumen (m3) haciendo clic en el círculo que se encuentra al lado izquierdo de cada una; en la casilla gris indique la cantidad de residuos reciclables que puede transportar el vehículo que se usará para la recolección y el transporte durante un viaje, según el vehículo seleccionado en "Tipo de equipo".</t>
  </si>
  <si>
    <t>Medida de capacidad</t>
  </si>
  <si>
    <t>Seleccione una opción para indicar si desea introducir el dato en toneladas o volumen (m3) seleccionando de la lista desplegable.</t>
  </si>
  <si>
    <t>Tiempos</t>
  </si>
  <si>
    <t>El tiempo total de recolección y transporte se calcula a partir de la suma de cinco (5) etapas o tiempos parciales, como se describe a continuación:</t>
  </si>
  <si>
    <t>Indique el tiempo que se requiere para el transporte de los residuos desde el momento en que finaliza la recolección hasta la llegada al centro de acopio o bodega de reciclaje y el regreso hasta el sitio donde inicia un nuevo recorrido o donde se guarda el vehículo.</t>
  </si>
  <si>
    <t>Indique el tiempo que se requiere para la recolección de los residuos, desde el inicio del recorrido hasta que el vehículo se encuentra lleno y listo para iniciar el transporte hasta el centro de acopio o bodega de reciclaje.</t>
  </si>
  <si>
    <t>Indique el tiempo que se requiere para la preparación del vehículo antes del inicio del recorrido (revisión de motor, niveles de aceite, filtros, batería, llantas, equipo de carretera, botiquín, etc.)</t>
  </si>
  <si>
    <t>Indique el tiempo necesario para la descarga del material recolectado en el centro de acopio o bodega de reciclaje.</t>
  </si>
  <si>
    <t>En este campo indique el número de operarios de recolección de residuos que se requiere para la operación de un vehículo.</t>
  </si>
  <si>
    <t>Indique el porcentaje de vehículos de respaldo que se consideran necesarios. Con este porcentaje se calcula un número adicional de vehículos a los requeridos para la prestación del servicio. Estos equipos son los que se usan para reemplazar los vehículos que se encuentren en reparación o mantenimiento; permitirán garantizar que se tenga el  número de vehículos funcionando diariamente según las necesidades de prestación del servicio.</t>
  </si>
  <si>
    <t>Indique el tiempo en años que dura el vehículo indicado en el campo "Tipo de equipo" antes que deba ser reemplazado por uno nuevo.</t>
  </si>
  <si>
    <t>En este campo se seleccione de la lista desplegable una opción para indicar si la información se diligenciará en galones por kilómetro (gal/km) o galones por cada hora de viaje (gal/hora-viaje). En el campo correspondiente se debe indicar la cantidad de galones de combustible que consume un vehículo según la opción seleccionada.</t>
  </si>
  <si>
    <t>Distancia recorrida en las actividades de recolección y transporte</t>
  </si>
  <si>
    <t>En este campo seleccione una opción para indicar o calcular la distancia que recorre un vehículo en la actividad de recolección y transporte.</t>
  </si>
  <si>
    <t>Si selecciona "Indicar velocidades (km/h)" se activan los siguientes campos:</t>
  </si>
  <si>
    <t>Velocidad de Recolección (km/h)</t>
  </si>
  <si>
    <t>Indicar la velocidad promedio de desplazamiento de un vehículo durante el tiempo de recolección de residuos (desde que inicia el recorrido hasta que finaliza la recolección para iniciar el transporte).</t>
  </si>
  <si>
    <t>Velocidad de Transporte (km/h)</t>
  </si>
  <si>
    <t>Indicar la velocidad promedio de desplazamiento de un vehículo durante el tiempo de transporte de residuos (desde que inicia el recorrido, una vez finalizada la recolección, hasta que llega al centro de acopio o bodega de reciclaje).</t>
  </si>
  <si>
    <t>Si selecciona "Indicar longitud recorrida (km)" se activan los siguientes campos:</t>
  </si>
  <si>
    <t>Distancia de Recolección (km)</t>
  </si>
  <si>
    <t>Indicar la distancia recorrida por un vehículo durante la recolección de residuos (desde que inicia el recorrido hasta que finaliza la recolección para iniciar el transporte)</t>
  </si>
  <si>
    <t>Distancia de Transporte (km)</t>
  </si>
  <si>
    <t>Indicar la distancia recorrida por un vehículo durante el transporte de residuos (desde que inicia el recorrido, una vez finalizada la recolección, hasta que llega al centro de acopio o bodega de reciclaje)</t>
  </si>
  <si>
    <t>Indicar el número de días del mes que se consideran para una jornada laboral normal. Este número supone que un mes tiene en promedio 30 días y 4 semanas, de tal forma que si los domingos no se hace recolección de residuos el número de días laborales al mes sería 26.</t>
  </si>
  <si>
    <t>Indicar el número de turnos o jornadas laborales que se realizan en un día para la recolección y el transporte de residuos.</t>
  </si>
  <si>
    <t>Indicar el número de horas que dura cada turno o jornada laboral.</t>
  </si>
  <si>
    <t>Indicar el número de supervisores que se requieren para la actividad de recolección y transporte. Se pide la cantidad por cada 20 operarios con el fin de estandarizar los cálculos. Es posible indicar números decimales si es necesario. Por ejemplo, si se indica 1 el modelo considera que por cada 20 operarios de recolección y transporte se calcularán los costos asociados a un supervisor. Si se indica 0.5 el modelo considera que por cada 10 operarios de recolección y transporte se calcularán los costos asociados a un supervisor.</t>
  </si>
  <si>
    <t>Señale la proporción (%) que se manejara por cada tipo de residuo (papel, cartón, plástico, metales, vidrio u otros), la suma de los valores deberá ser igual a 100% . Si las celdas se dejan vacías, el modelo utiliza para el cálculo los datos de referencia que se muestran en la columna H (Valor de Referencia - Composición %), por lo tanto, para no considerar algún tipo de residuo reciclable de la tabla es necesario indicar cero (0%) en la columna F (Composición %).</t>
  </si>
  <si>
    <t>Información de costos de inversión</t>
  </si>
  <si>
    <t>Información de cantidades de equipos y mano de obra</t>
  </si>
  <si>
    <t>Si diligenció la "Información para que la herramienta calcule la cantidad de vehículos, operarios de recolección y conductores" continúe en la sección "Información de costos de inversión"</t>
  </si>
  <si>
    <t>Esta sección se diligencia si conoce la cantidad de vehículos y mano de obra de un sistema de recolección y transporte, de lo contrario debe utilizar la información de referencia o estimar la información que se requiere de la sección anterior.</t>
  </si>
  <si>
    <t xml:space="preserve">Indique el costo de los siguientes equipos y seleccione la fuente de los recursos </t>
  </si>
  <si>
    <t>Información de cantidades y mano de obra</t>
  </si>
  <si>
    <t>Diligencie en esta sección el valor para cada uno de los equipos necesarios para la recolección y transporte de los residuos reciclables. Seleccione con los botones la entidad que hace los aportes para la financiación de estas inversiones.</t>
  </si>
  <si>
    <t>INFORMACIÓN DE SALARIOS Y COSTOS LABORALES POR TIPO DE TRABAJADOR</t>
  </si>
  <si>
    <t>Indicar para cada tipo de oficio o cargo el valor del salario básico mensual del trabajador.</t>
  </si>
  <si>
    <t>Otros Auxilios Mensuales (Ej. Transporte) ($/trabajador-mes)</t>
  </si>
  <si>
    <t>Indicar para cada tipo de oficio o cargo el valor mensual adicional que recibe el trabajador por conceptos adicionales al salario.</t>
  </si>
  <si>
    <t>Indicar como porcentaje del salario cuál es el costo para el empleador de efectuar aportes al sistema de seguridad social (salud, pensiones, riesgos laborales), más el costo de los pagos laborales legales como vacaciones, primas, etc. para cada tipo de oficio o cargo.</t>
  </si>
  <si>
    <t>Indicar como porcentaje del salario cuál es el costo para el empleador de los pagos extralegales que debe efectuar a cada trabajador como consecuencia de pactos o acuerdos derivados de una convención colectiva de trabajadores o derechos sindicales, para cada tipo de oficio o cargo.</t>
  </si>
  <si>
    <t>Indicar como porcentaje del salario cuál es el costo en que incurre el empleador por concepto de las suplencias laborales, para cada tipo de oficio o cargo.</t>
  </si>
  <si>
    <t>Indicar como porcentaje del salario cuál es el costo para el empleador por concepto de programas de capacitación, bienestar social y laboral, incentivos, etc.</t>
  </si>
  <si>
    <t>Valor unitario de dotación promedio mensual por persona ($/trabajador-mes)</t>
  </si>
  <si>
    <t>Indicar para cada tipo de oficio o cargo el valor mensual promedio en que debe incurrir el empleador por cada trabajador para el pago de elementos de dotación como vestuario, elementos personales de seguridad, etc.</t>
  </si>
  <si>
    <t>Fuente de recursos por cargo</t>
  </si>
  <si>
    <t>Indique seleccionando en cada botón cuál es la fuente de los recursos para la remuneración de los trabajadores para cada uno de los cargos.</t>
  </si>
  <si>
    <t>Combustible</t>
  </si>
  <si>
    <t>Mantenimiento de vehículos</t>
  </si>
  <si>
    <t>Indicar el costo de un galón de combustible. Si no se quiere considerar este costo en los cálculos se debe indicar cero (0) en la columna correspondiente a valor unitario. Indique cuál de los tres actores aporta el valor del combustible.</t>
  </si>
  <si>
    <t>Indicar el costo mensual del mantenimiento de todos los vehículos. Indique con los botones, cuál de los tres actores hace los aportes del costo de mantenimiento.</t>
  </si>
  <si>
    <t>Costo fijo por vehículo</t>
  </si>
  <si>
    <t>Indique el valor mensual del costo fijo para cada vehículo y la fuente de los recursos, seleccionando el actor con el botón.</t>
  </si>
  <si>
    <t>Capacidad del centro de acopio</t>
  </si>
  <si>
    <r>
      <rPr>
        <b/>
        <sz val="11"/>
        <color theme="4"/>
        <rFont val="Calibri"/>
        <family val="2"/>
        <scheme val="minor"/>
      </rPr>
      <t>Capadidad del centro de acopio</t>
    </r>
    <r>
      <rPr>
        <u/>
        <sz val="11"/>
        <color theme="10"/>
        <rFont val="Calibri"/>
        <family val="2"/>
        <scheme val="minor"/>
      </rPr>
      <t xml:space="preserve">
Elija una opción</t>
    </r>
  </si>
  <si>
    <t>Seleccione una opción para determinar la cantidad y capacidad de centros de acopio. Usted puede definir el tamaño de los centros de acopio y el modelo calculará la cantidad de centros o indicar la cantidad de centros de acopio deseados y el modelo calculará la capacidad de los mismos.
En todo caso si usted desea una capacidad mayor a la estimada por el modelo, en la parte derecha encuentra una casilla para diligenciar el área.</t>
  </si>
  <si>
    <t>Area de cada uno de los centros de acopio (m2)</t>
  </si>
  <si>
    <t>Indicar el tamaño de cada uno de los centros de acopio en metros cuadrados. Tenga en cuenta que si usted tiene varios centros de acopio de distintos tamaños, usted puede dividir el valor total de sus tamaños entre la cantidad de los mismos y así obtener un tamaño promedio.</t>
  </si>
  <si>
    <t>Indicar la cantidad de toneladas que puede almacenar un contener móvil para el almacenamiento de residuos clasificados en un centro de acopio.</t>
  </si>
  <si>
    <t>Indicar qué porcentaje de residuos reciclables que ingresa al centro de acopio es rechazado y enviado a un sitio de disposición final.</t>
  </si>
  <si>
    <t>Indicar el número promedio de años de duración de la maquinaria y equipos del centro de acopio, antes que deban ser reemplazados.</t>
  </si>
  <si>
    <t>Costo de recolección y transporte</t>
  </si>
  <si>
    <t>Costo de disposición final</t>
  </si>
  <si>
    <t>Indicar el valor por tonelada que se paga al prestador del servicio de recolección y transporte de residuos no reciclables. Este valor es utilizado para calcular el costo de recolección y transporte del material que es rechazado en los centros de acopio y enviado a disposición final. Si se deja este campo vacío no se calcula el costo correspondiente a la recolección y transporte del material de rechazo.</t>
  </si>
  <si>
    <t>Indicar el valor por tonelada que se paga al prestador del servicio de disposición final de residuos no reciclables. Este valor es utilizado para calcular el costo de disposición final del material que es rechazado en los centros de acopio. Si se deja este campo vacío no se calcula el costo correspondiente a la disposición final del material de rechazo.</t>
  </si>
  <si>
    <t>Cantidad de operarios de báscula y minicargador</t>
  </si>
  <si>
    <t>Rendimientos en clasificación material (Ton/ope-turno)</t>
  </si>
  <si>
    <t>En esta sección usted tiene dos opciones, para las cuales aparece la siguiente información:</t>
  </si>
  <si>
    <t>Indicar cantidad de operarios, con la que aparece la siguiente información a diligenciar:</t>
  </si>
  <si>
    <t>Indique la cantidad de supervisores</t>
  </si>
  <si>
    <t>Indique la cantidad de operarios en la báscula y el minicargador para cada uno de los centros de acopio. Si no hay operarios para estas actividades digite 0.</t>
  </si>
  <si>
    <t>Indique cuántas toneladas de residuos reciclables, un operario, puede separar en un turno de trabajo.</t>
  </si>
  <si>
    <t>Indique la cantidad de supervisores que hay por cada 20 operarios.</t>
  </si>
  <si>
    <t>Centros de Acopio</t>
  </si>
  <si>
    <t>Indicar el costo en que deberá incurrir el reciclador o prestador, según el caso, para la elaboración de los estudios y diseños que le permitirán construir el centro de acopio. El valor de referencia supone que se requiere un único estudio por un valor global. Si se considera pertinente es posible indicar una cantidad diferente asociada al valor unitario que se conozca, por ejemplo, en la cantidad indicar metros cuadrados y en el valor unitario el costo por cada metro cuadrado. Si no se quiere considerar este costo en los cálculos se debe indicar cero (0) en la columna correspondiente a cantidad. Si no se diligencia información el modelo cuantifica los costos utilizando los valores de referencia que se presentan al frente de este campo en cada tipo de centro de acopio.</t>
  </si>
  <si>
    <t>En los campos correspondientes a "Cantidad" se pide indicar los metros cuadrados requeridos para las instalaciones, diferenciando el área administrativa del área operativa. En el "Valor unitario" se debe indicar el costo por cada metro cuadrado de la instalación. Si no se quiere considerar este costo en los cálculos se debe indicar cero (0) en la columna correspondiente a cantidad. Si no se diligencia información el modelo cuantifica los costos utilizando los valores de referencia que se presentan al frente de este campo en cada tipo de centro de acopio.</t>
  </si>
  <si>
    <t>Para cada elemento que se lista es necesario indicar la cantidad requerida para el funcionamiento del centro de acopio y el costo unitario. Las unidades correspondientes a los valores de referencia que se presentan se muestran en la columna "Unidad". Es posible utilizar unidades diferentes a las contempladas en los valores de referencia; para esto lo único que se requiere es que la cantidad y el valor unitario correspondan a la misma medida o dimensión. Por ejemplo, si el costo de la banda transportadora de elevación se conoce por metro cuadrado, en la columna "Cantidad" se debe indicar el número de metros cuadrados requeridos y en la columna "Valor unitario" se debe indicar el valor de cada metro cuadrado. Es posible incluir otras máquinas o equipos no contemplados en el listado ingresando la información en el ítem "Otros equipos".  Si no se quiere considerar algún elemento en los cálculos se debe indicar cero (0) en la columna correspondiente a cantidad. Si no se diligencia información el modelo cuantifica los costos utilizando los valores de referencia que se presentan al frente de este campo en cada tipo de centro de acopio.</t>
  </si>
  <si>
    <t>Indicar el costo en que debe incurrir el reciclador o prestador por cada tonelada mensual de residuos que son gestionadas en el centro de acopio. Estos costos son los que se consideran variables en función de la cantidad de residuos, por lo tanto, no se incluyen los costos en que se incurre independientemente de la cantidad de residuos que ingresen al centro de acopio; dichos costos deberán considerarse para determinar el porcentaje de costo fijo mensual. Si no se quiere considerar este costo en los cálculos se debe indicar cero (0) en la columna correspondiente a "Valor unitario". Si no se diligencia información el modelo cuantifica los costos utilizando el valor de referencia que se presenta al frente de este campo en cada tipo de centro de acopio.</t>
  </si>
  <si>
    <t>Indicar el costo como un porcentaje con respecto al costo de inversión en maquinaria y equipo. Corresponde al costo mensual en que debe incurrir el reciclador o prestador por el mantenimiento de la maquinaria y equipos en el centro de acopio. Si no se quiere considerar este costo en los cálculos se debe indicar cero (0) en la columna correspondiente a "Valor unitario". Si no se diligencia información el modelo cuantifica los costos utilizando el valor de referencia que se presenta al frente de este campo en cada tipo de centro de acopio.</t>
  </si>
  <si>
    <t>Indicar el costo como un porcentaje con respecto al costo de inversión en instalaciones generales (administrativas y operativas). Corresponde al costo mensual en que debe incurrir el reciclador o prestador por el mantenimiento de las instalaciones administrativas y operativas donde funciona el centro de acopio. Si no se quiere considerar este costo en los cálculos se debe indicar cero (0) en la columna correspondiente a "Valor unitario". Si no se diligencia información el modelo cuantifica los costos utilizando el valor de referencia que se presenta al frente de este campo en cada tipo de centro de acopio.</t>
  </si>
  <si>
    <t>Costos variables del centro de acopio</t>
  </si>
  <si>
    <t>El modelo considera que el centro de acopio o bodega no es propiedad del reciclador o prestador y por lo tanto es necesario incurrir en un costo mensual de arrendamiento o alquiler. En este campo se solicita indicar el costo de arrendamiento mensual por cada metro cuadrado de área; esta área corresponde a la suma de las instalaciones administrativas y operativas que se indicó en la sección "Instalaciones generales" de los costos de inversión. En caso de conocer el costo mensual fijo y no por metro cuadrado, se pide hacer la conversión dividiendo dicho costo por los metros cuadrados de las instalaciones (administrativas más operativas). Si no se quiere considerar este costo en los cálculos se debe indicar cero (0) en la columna correspondiente a "Valor unitario". Si no se diligencia información el modelo cuantifica los costos utilizando el valor de referencia que se presenta al frente de este campo en cada tipo de centro de acopio.</t>
  </si>
  <si>
    <t>Indicar el costo como un porcentaje con respecto al costos de inversión en maquinaria y equipo. Corresponde al costo mensual en que debe incurrir el reciclador o prestador para la operación del centro de acopio. Se consideran valores como impuestos, licencias, material de oficina, suministros (energía eléctrica, agua, teléfono) u otros costos diferentes al mantenimiento de maquinaria y equipos e instalaciones.</t>
  </si>
  <si>
    <t>Costos fijos del centro de acopio</t>
  </si>
  <si>
    <t>INFORMACIÓN DE GASTOS DE ADMINISTRACIÓN Y COSTOS DE CAPITAL</t>
  </si>
  <si>
    <t>Indicar el porcentaje de gastos de administración para la actividad de recolección y transporte. Este porcentaje se aplica a los costos directos de prestación del servicio: costos de inversión, costos fijos, costos variables y costos de personal, calculados según la información que se ingresó en las subsecciones anteriores. Si no se quiere considerar este costo en los cálculos se debe indicar cero (0) en la columna correspondiente a "Valor unitario". Si no se diligencia información el modelo cuantifica los costos utilizando el valor de referencia que se presenta al frente de este campo en cada tipo de centro de acopio.</t>
  </si>
  <si>
    <t>Costo promedio ponderado de capital</t>
  </si>
  <si>
    <t>Indicar la tasa efectiva anual. Este porcentaje significa cuánto le cuesta al reciclador o prestador financiar las inversiones. Se calcula como un promedio de las diferentes tasas de interés que deberían pagarse por los recursos para financiar las inversiones y los montos obtenidos a través de cada fuente de financiación. Por ejemplo, si se requieren USD 1.000 para financiar las inversiones y es posible obtener estos recursos 60% con un préstamo a una tasa de interés anual de 13,5% (después de descontar beneficios fiscales) y 40% con aportes de capital de socios que tienen una rentabilidad esperada anual de 12,5%, el costo promedio ponderado de capital será de 13.10% anual. Si no se quiere considerar este costo en los cálculos se debe indicar cero (0) en la columna correspondiente a "Valor unitario". Si no se diligencia información el modelo cuantifica los costos utilizando el valor de referencia que se presenta al frente de este campo en cada tipo de centro de acopio.</t>
  </si>
  <si>
    <t>Ciclo de efectivo</t>
  </si>
  <si>
    <t>Indicar el número de días de ciclo de efectivo para cada actividad. Corresponde al número de días de operación que deben financiarse con el capital de trabajo. Para determinar el ciclo de efectivo debe calcularse la diferencia entre el número de días que tarda el reciclador o prestador para recibir ingresos y el número de días en que debe efectuar pagos a empleados y proveedores. Si no se quiere considerar este costo en los cálculos se debe indicar cero (0) en la columna correspondiente a "Valor unitario". Si no se diligencia información el modelo cuantifica los costos utilizando el valor de referencia que se presenta al frente de este campo en cada tipo de centro de acopio.</t>
  </si>
  <si>
    <t>Para cada tipo de material reciclable se pide indicar el precio que paga la industria por cada tonelada de residuos. Esta información se utiliza para calcular el ingreso de los centros de acopio. El modelo calcula los ingresos anuales en función de la composición de residuos que se indicó en la sección "Información de residuos sólidos reciclables" y el nivel de rechazo de materiales recibidos en el centro de acopio que se indicó en la sección "Variables y parámetros para centros de acopio de residuos reciclables". Si no se diligencia el precio el modelo cuantifica los ingresos utilizando el valor de referencia que se presenta al frente de cada tipo de material.</t>
  </si>
  <si>
    <t>Precio que paga el centro de acopio o bodega</t>
  </si>
  <si>
    <t>Para cada tipo de material reciclable se pide indicar el precio que pagan los centros de acopio por cada tonelada de residuos. Esta información se usa para calcular el ingreso del prestador de la actividad de recolección y transporte cuando éste es diferente al operador de los centros de acopio. El modelo calcula los ingresos anuales en función de la composición de residuos que se indicó en la sección "Información de residuos sólidos reciclables" sin descontar el material de rechazo. Si no se diligencia el precio el modelo cuantifica los ingresos utilizando el valor de referencia que se presenta al frente de cada tipo de material.</t>
  </si>
  <si>
    <t>Comercialización de materiales</t>
  </si>
  <si>
    <t>Recolección y Transporte ($/tonelada)</t>
  </si>
  <si>
    <t>Indicar el valor por tonelada que se pagará al prestador del servicio de recolección y transporte de residuos reciclables. El modelo supone que los recicladores o prestadores que realicen la actividad de recolección y transporte de residuos reciclables recibirán igual pago por el desarrollo de esta actividad. Si se deja este campo vacío no se considera ingreso por prestación del servicio de recolección y transporte de residuos reciclables.</t>
  </si>
  <si>
    <t>Centro de acopio ($/tonelada)</t>
  </si>
  <si>
    <t>Remuneración del servicio</t>
  </si>
  <si>
    <t>Variable ($/Tonelada)</t>
  </si>
  <si>
    <t>Si se selecciona esta opción se debe indicar el valor de la remuneración que se pagará a los recicladores por cada tonelada de residuos que manejen.</t>
  </si>
  <si>
    <t>Fija ($/Reciclador-Mes)</t>
  </si>
  <si>
    <t>Si se selecciona esta opción se debe indicar el valor de la remuneración fija mensual que se pagará a cada reciclador.</t>
  </si>
  <si>
    <t>Parte Variable ($/Tonelada) y Parte Fija ($/Reciclador-Mes)</t>
  </si>
  <si>
    <t>Si se selecciona esta opción se deben indicar dos montos: el valor que se pagará a los recicladores por cada tonelada de residuos que manejen y el valor fijo mensual que se pagará a cada reciclador.</t>
  </si>
  <si>
    <t>Usuario</t>
  </si>
  <si>
    <t>Comparación de recursos</t>
  </si>
  <si>
    <t>Vehículos</t>
  </si>
  <si>
    <t>Trabajadores</t>
  </si>
  <si>
    <t>Valor inversión</t>
  </si>
  <si>
    <t>2. Separación, clasificación y embalaje.</t>
  </si>
  <si>
    <t>Ingresos industria</t>
  </si>
  <si>
    <t>ingresos industria</t>
  </si>
  <si>
    <t>Ingresos recicladores</t>
  </si>
  <si>
    <t>Tamaño cada centro ton/año</t>
  </si>
  <si>
    <t>Elaborado por Magda Carolina Correal (mcorreal@magconsultorias.com), Ángela Osorio y Andrea Laguna</t>
  </si>
  <si>
    <t>Indique el valor de los siguientes equipos para cada uno de los centros de acopio y seleccione la fuente de los recursos de cada uno (sólo es válida una opción)</t>
  </si>
  <si>
    <t xml:space="preserve">Para los ítems solicitados es necesario indicar la cantidad y el valor unitario. El dimensionamiento en esta sección es el que permite determinar el nivel de tecnificación que tendrá un centro de acopio. </t>
  </si>
  <si>
    <t>Información Laboral General del equipo de tracción manual</t>
  </si>
  <si>
    <t>Información Laboral General del Equipo de tracción manual</t>
  </si>
  <si>
    <t>Selecccione</t>
  </si>
  <si>
    <t>Embaladora automática</t>
  </si>
  <si>
    <t>Venta de material</t>
  </si>
  <si>
    <t>% de los costos directos (de ambas actividades)</t>
  </si>
  <si>
    <t>Composición de los materiales reciclables
La suma debe coincidir con 100%</t>
  </si>
  <si>
    <t>Costo de mantenimiento de maquinaria y equipo</t>
  </si>
  <si>
    <t>Costo de mantenimiento de instalaciones</t>
  </si>
  <si>
    <t>Cantidad de supervisores en total por turno</t>
  </si>
  <si>
    <t>Cantidad operarios recolección vp</t>
  </si>
  <si>
    <t>Cantidad operarios recolección vm</t>
  </si>
  <si>
    <t>Cantidad operarios recolección vtm</t>
  </si>
  <si>
    <t>Cantidad conductores recolección vp</t>
  </si>
  <si>
    <t>Cantidad conductores recolección vm</t>
  </si>
  <si>
    <t>Cantidad conductores recolección vtm</t>
  </si>
  <si>
    <t>Cantidad total de operarios de recolección por tipo de vehículo</t>
  </si>
  <si>
    <t>Cantidad total de conductores de recolección por tipo de vehículo</t>
  </si>
  <si>
    <t>Cantidad total de operarios de recoelcción por tipo de vehículo</t>
  </si>
  <si>
    <t>Cantidad total de conductores por tipo de vehículo</t>
  </si>
  <si>
    <t>Precio que paga el centro de acopio al recolector</t>
  </si>
  <si>
    <t>Precio que paga la industria al centro de acopio</t>
  </si>
  <si>
    <t>Precio que paga el centro de acopio al reciclador</t>
  </si>
  <si>
    <t>Remuneración por la ruta de recolección selectiva y clasificación del material</t>
  </si>
  <si>
    <r>
      <rPr>
        <b/>
        <sz val="11"/>
        <color theme="4"/>
        <rFont val="Calibri"/>
        <family val="2"/>
        <scheme val="minor"/>
      </rPr>
      <t>Capadidad del centro de acopio</t>
    </r>
    <r>
      <rPr>
        <sz val="11"/>
        <color theme="1"/>
        <rFont val="Calibri"/>
        <family val="2"/>
        <scheme val="minor"/>
      </rPr>
      <t xml:space="preserve">
Elija una opción</t>
    </r>
  </si>
  <si>
    <t>Costo fijo mensual de los centros de acopio</t>
  </si>
  <si>
    <t>Ton mes por centro</t>
  </si>
  <si>
    <t>Ton día por centro</t>
  </si>
  <si>
    <t>Ton hora por centro</t>
  </si>
  <si>
    <t>M2/ton-día</t>
  </si>
  <si>
    <t>Ton desde</t>
  </si>
  <si>
    <t>Manual</t>
  </si>
  <si>
    <t>Semimecanizado</t>
  </si>
  <si>
    <t>Grande</t>
  </si>
  <si>
    <t>Turnos</t>
  </si>
  <si>
    <t>Contenedor tipo ampliroll</t>
  </si>
  <si>
    <t>Rechazo recicladores</t>
  </si>
  <si>
    <t>Rechazo prestador</t>
  </si>
  <si>
    <t>Costo del mantenimiento de maquinaria y equipo por centro de acopio</t>
  </si>
  <si>
    <t>Costo del mantenimiento de instalaciones por centro de acopio</t>
  </si>
  <si>
    <t>Tipo de centro</t>
  </si>
  <si>
    <t>Distribución de costos</t>
  </si>
  <si>
    <t>RESULTADO GENERAL POR FUENTE DE RECURSOS</t>
  </si>
  <si>
    <t>RESULTADO GENERAL POR ESCENARIO (no tiene en cuenta la fuente de los recursos)</t>
  </si>
  <si>
    <t>Cantidad de residuos recogidos por el esquema mixto (residuos mezclados) (Ton/año)</t>
  </si>
  <si>
    <t>Clasificación, embalaje y acopio</t>
  </si>
  <si>
    <t>Cantidad de operarios de clasificación por centro</t>
  </si>
  <si>
    <t>Indicar los rendimientos de clasificación, con la que aparece la siguiente información a diligenciar:</t>
  </si>
  <si>
    <t>VARIABLES Y PARÁMETROS PARA LA CLASIFICACIÓN, clasificación Y EMBALAJE DE RESIDUOS RECICLABLES</t>
  </si>
  <si>
    <t>Cantidad de operarios de clasificación</t>
  </si>
  <si>
    <t>Indique la cantidad de operarios de clasificación para cada uno de los centros de acopio.</t>
  </si>
  <si>
    <t>Indicar el valor por tonelada que se pagará por la operación de centros de acopio de residuos reciclables. El modelo supone que los recicladores o prestadores que operen centros de acopio recibirán igual pago por tonelada. Si se deja este campo vacío no se considera ingreso por prestación del servicio de clasificación, clasificación y enfardado de residuos reciclables.</t>
  </si>
  <si>
    <t>Costo del mantenimiento ($/vehículo-mes)</t>
  </si>
  <si>
    <t>Valor ($/vehículo-mes)</t>
  </si>
  <si>
    <t xml:space="preserve">Vehículo motorizado pequeño </t>
  </si>
  <si>
    <t xml:space="preserve">Equipo de tracción manual </t>
  </si>
  <si>
    <t xml:space="preserve">Contenedores </t>
  </si>
  <si>
    <t>Valor  ($/vehículo-mes)</t>
  </si>
  <si>
    <t xml:space="preserve">Vehículo motorizado mediano </t>
  </si>
  <si>
    <t>2.1 Componente de inversión</t>
  </si>
  <si>
    <t xml:space="preserve">Cantidad de camiones utilizados por el prestador del servicio: </t>
  </si>
  <si>
    <t xml:space="preserve">Tipo de recolección: </t>
  </si>
  <si>
    <t>Cantidad de años que trabaja el camión:</t>
  </si>
  <si>
    <t>7 años</t>
  </si>
  <si>
    <t>Responsable principal de la recolección:</t>
  </si>
  <si>
    <t>2.2 Componente de costos laborales</t>
  </si>
  <si>
    <t>Salario de los operarios de recolección</t>
  </si>
  <si>
    <t>Cantidad de conductores</t>
  </si>
  <si>
    <t>Ninguno; es decir, 0 supervisores</t>
  </si>
  <si>
    <t>10 operarios; es decir, 2 operarios por camión</t>
  </si>
  <si>
    <t>4 conductores; es decir, 1 conductor por camión</t>
  </si>
  <si>
    <t>Salario de los conductores</t>
  </si>
  <si>
    <t>388 USD por cada operario por mes</t>
  </si>
  <si>
    <t>698 USD por cada conductor por mes</t>
  </si>
  <si>
    <t>67% sobre el valor del salario</t>
  </si>
  <si>
    <t>Otros aportes no considerados en la Ley (extralegales)</t>
  </si>
  <si>
    <t>20% sobre el valor del salario</t>
  </si>
  <si>
    <t>Camisa</t>
  </si>
  <si>
    <t>Sobretodo</t>
  </si>
  <si>
    <t>Pantalón</t>
  </si>
  <si>
    <t>Par de botas</t>
  </si>
  <si>
    <t>Par de gafas</t>
  </si>
  <si>
    <t>Par de guantes</t>
  </si>
  <si>
    <t>Artículo</t>
  </si>
  <si>
    <t>Para los costos variables fue necessario llevar a cabo distintos cálculos para completar la información del formulario</t>
  </si>
  <si>
    <t>C. Precio total (A*B)</t>
  </si>
  <si>
    <t>Costo del mantenimiento</t>
  </si>
  <si>
    <t>El formulario solicita que se indique el costo del mantenimiento por vehículo al mes. Esta información se recolectó a partir de las operaciones de mantenimiento en las que incurre la empresa</t>
  </si>
  <si>
    <t>Cuando el usuario indica que conoce la cantidad de vehículos, el formulario solicita la cantidad de galones de gasolina que consume y su precio. Esta información se calculó a partir de los datos reportados en la contabilidad de la empresa y el precio de la gasolina de la siguiente forma:</t>
  </si>
  <si>
    <t>Tipo de mantenimiento</t>
  </si>
  <si>
    <t>A. Precio USD por vehículo</t>
  </si>
  <si>
    <t>Calibración</t>
  </si>
  <si>
    <t>Afilada</t>
  </si>
  <si>
    <t>B. Frecuencia por vehículo (veces/año)</t>
  </si>
  <si>
    <t>Total mensual por vehículo = Total mensual/cantidad de vehículos</t>
  </si>
  <si>
    <t>Mantenimiento de la Compactadora</t>
  </si>
  <si>
    <t>Matrícula</t>
  </si>
  <si>
    <t>Revisión técnico mecánica</t>
  </si>
  <si>
    <t>Seguro</t>
  </si>
  <si>
    <t>Parqueadero y lavado</t>
  </si>
  <si>
    <t>3.1 Componente de inversión</t>
  </si>
  <si>
    <t>Características del centro de acopio</t>
  </si>
  <si>
    <t>(i) Área del centro de acopio</t>
  </si>
  <si>
    <t>Centro 1</t>
  </si>
  <si>
    <t>Centro 2</t>
  </si>
  <si>
    <t>Centro 3</t>
  </si>
  <si>
    <t>Centro 4</t>
  </si>
  <si>
    <t>Σ área de los centros</t>
  </si>
  <si>
    <t>Centro</t>
  </si>
  <si>
    <t>(ii) Rechazo del material</t>
  </si>
  <si>
    <t>3.2 Componente de costos laborales</t>
  </si>
  <si>
    <t>Cantidad de operarios de recolección (vehículos)</t>
  </si>
  <si>
    <t>Salario de los recicladores</t>
  </si>
  <si>
    <t>366 USD</t>
  </si>
  <si>
    <t>Prestaciones o beneficios sociales (aportes legales)</t>
  </si>
  <si>
    <t>11% sobre el valor del salario</t>
  </si>
  <si>
    <t>Recicladores</t>
  </si>
  <si>
    <t>Conductores y operarios de recolección</t>
  </si>
  <si>
    <t>A. Cantidad de recicladores</t>
  </si>
  <si>
    <t>B. Número de jornadas</t>
  </si>
  <si>
    <t>(iii) Maquinaria y equipo del centro de acopio</t>
  </si>
  <si>
    <t>USD/unidad</t>
  </si>
  <si>
    <t>Terreno</t>
  </si>
  <si>
    <t>3.3 Componente de costos variables</t>
  </si>
  <si>
    <t>2.3 Componente de costos variables</t>
  </si>
  <si>
    <t>2.4 Componente de costos fijos</t>
  </si>
  <si>
    <t>El mantenimiento de la maquinaria y equipo es provisto por el prestador del servicio de limpieza urbana. Este valor se estimó de la siguiente forma:</t>
  </si>
  <si>
    <t>Costo del mantenimiento de las instalaciones por centro de acopio</t>
  </si>
  <si>
    <t>Los costos de operación son asumidos por las organizaciones de recicladores. Para obtener el valor por tonelada, se llevó a cabo el siguiente cálculo:</t>
  </si>
  <si>
    <t>El mantenimiento de las instalaciones es llevado a cabo por parte de las organizaciones de recicladores. El valor mensual se calculó de la siguiente forma</t>
  </si>
  <si>
    <t>Estos costos son asumidos por la organización de recicladores. Dentro de éstos se tienen en cuenta los costo de servicios públicos:</t>
  </si>
  <si>
    <r>
      <t>Cantidad de recicladores en la recolección</t>
    </r>
    <r>
      <rPr>
        <b/>
        <sz val="14"/>
        <color theme="0"/>
        <rFont val="Calibri"/>
        <family val="2"/>
        <scheme val="minor"/>
      </rPr>
      <t xml:space="preserve"> (A/B)</t>
    </r>
  </si>
  <si>
    <r>
      <t xml:space="preserve">A. </t>
    </r>
    <r>
      <rPr>
        <sz val="14"/>
        <color theme="0"/>
        <rFont val="Calibri"/>
        <family val="2"/>
        <scheme val="minor"/>
      </rPr>
      <t>Precio USD</t>
    </r>
  </si>
  <si>
    <r>
      <t xml:space="preserve">B. </t>
    </r>
    <r>
      <rPr>
        <sz val="12"/>
        <color theme="0"/>
        <rFont val="Calibri"/>
        <family val="2"/>
        <scheme val="minor"/>
      </rPr>
      <t>Cantidad suministrada al año por empleado</t>
    </r>
  </si>
  <si>
    <r>
      <t xml:space="preserve">C. </t>
    </r>
    <r>
      <rPr>
        <sz val="14"/>
        <color theme="0"/>
        <rFont val="Calibri"/>
        <family val="2"/>
        <scheme val="minor"/>
      </rPr>
      <t>Precio total (A*B)</t>
    </r>
  </si>
  <si>
    <r>
      <rPr>
        <sz val="14"/>
        <color theme="1"/>
        <rFont val="Calibri"/>
        <family val="2"/>
        <scheme val="minor"/>
      </rPr>
      <t>Total mensual</t>
    </r>
    <r>
      <rPr>
        <b/>
        <sz val="14"/>
        <color theme="1"/>
        <rFont val="Calibri"/>
        <family val="2"/>
        <scheme val="minor"/>
      </rPr>
      <t xml:space="preserve">  (ΣC/12)</t>
    </r>
  </si>
  <si>
    <r>
      <rPr>
        <sz val="14"/>
        <color theme="1"/>
        <rFont val="Calibri"/>
        <family val="2"/>
        <scheme val="minor"/>
      </rPr>
      <t>Total anual</t>
    </r>
    <r>
      <rPr>
        <b/>
        <sz val="14"/>
        <color theme="1"/>
        <rFont val="Calibri"/>
        <family val="2"/>
        <scheme val="minor"/>
      </rPr>
      <t xml:space="preserve"> </t>
    </r>
    <r>
      <rPr>
        <b/>
        <sz val="14"/>
        <color theme="1"/>
        <rFont val="Calibri"/>
        <family val="2"/>
      </rPr>
      <t>ΣC.</t>
    </r>
  </si>
  <si>
    <r>
      <t xml:space="preserve">C. </t>
    </r>
    <r>
      <rPr>
        <sz val="14"/>
        <color theme="0"/>
        <rFont val="Calibri"/>
        <family val="2"/>
        <scheme val="minor"/>
      </rPr>
      <t>Precio total</t>
    </r>
    <r>
      <rPr>
        <b/>
        <sz val="14"/>
        <color theme="0"/>
        <rFont val="Calibri"/>
        <family val="2"/>
        <scheme val="minor"/>
      </rPr>
      <t xml:space="preserve"> (A*B)</t>
    </r>
  </si>
  <si>
    <r>
      <t xml:space="preserve">C. </t>
    </r>
    <r>
      <rPr>
        <sz val="14"/>
        <color theme="0"/>
        <rFont val="Calibri"/>
        <family val="2"/>
        <scheme val="minor"/>
      </rPr>
      <t xml:space="preserve">Precio total </t>
    </r>
    <r>
      <rPr>
        <b/>
        <sz val="14"/>
        <color theme="0"/>
        <rFont val="Calibri"/>
        <family val="2"/>
        <scheme val="minor"/>
      </rPr>
      <t>(A*B)</t>
    </r>
  </si>
  <si>
    <r>
      <t xml:space="preserve">A. </t>
    </r>
    <r>
      <rPr>
        <sz val="14"/>
        <color theme="0"/>
        <rFont val="Calibri"/>
        <family val="2"/>
        <scheme val="minor"/>
      </rPr>
      <t>Precio del combustible USD/Galón</t>
    </r>
  </si>
  <si>
    <r>
      <t xml:space="preserve">B. </t>
    </r>
    <r>
      <rPr>
        <sz val="14"/>
        <color theme="0"/>
        <rFont val="Calibri"/>
        <family val="2"/>
        <scheme val="minor"/>
      </rPr>
      <t>Gasto total en combustible USD/año</t>
    </r>
  </si>
  <si>
    <r>
      <rPr>
        <sz val="14"/>
        <color theme="0"/>
        <rFont val="Calibri"/>
        <family val="2"/>
        <scheme val="minor"/>
      </rPr>
      <t>Cantidad de galones</t>
    </r>
    <r>
      <rPr>
        <b/>
        <sz val="14"/>
        <color theme="0"/>
        <rFont val="Calibri"/>
        <family val="2"/>
        <scheme val="minor"/>
      </rPr>
      <t xml:space="preserve"> (B/A)</t>
    </r>
  </si>
  <si>
    <r>
      <t xml:space="preserve">A. </t>
    </r>
    <r>
      <rPr>
        <sz val="14"/>
        <color theme="0"/>
        <rFont val="Calibri"/>
        <family val="2"/>
        <scheme val="minor"/>
      </rPr>
      <t>Precio USD por vehículo</t>
    </r>
  </si>
  <si>
    <r>
      <t xml:space="preserve">B. </t>
    </r>
    <r>
      <rPr>
        <sz val="14"/>
        <color theme="0"/>
        <rFont val="Calibri"/>
        <family val="2"/>
        <scheme val="minor"/>
      </rPr>
      <t>Frecuencia por vehículo (veces/año)</t>
    </r>
  </si>
  <si>
    <r>
      <t xml:space="preserve">Área promedio:
</t>
    </r>
    <r>
      <rPr>
        <b/>
        <sz val="14"/>
        <color theme="1"/>
        <rFont val="Calibri"/>
        <family val="2"/>
      </rPr>
      <t>Σ área de los centros/ cantidad de centros</t>
    </r>
  </si>
  <si>
    <r>
      <rPr>
        <sz val="14"/>
        <color theme="0"/>
        <rFont val="Calibri"/>
        <family val="2"/>
        <scheme val="minor"/>
      </rPr>
      <t xml:space="preserve">Rechazo de material </t>
    </r>
    <r>
      <rPr>
        <b/>
        <sz val="14"/>
        <color theme="0"/>
        <rFont val="Calibri"/>
        <family val="2"/>
        <scheme val="minor"/>
      </rPr>
      <t>(B/A)</t>
    </r>
  </si>
  <si>
    <r>
      <t xml:space="preserve">Total por centro de acopio = </t>
    </r>
    <r>
      <rPr>
        <b/>
        <sz val="14"/>
        <color theme="1"/>
        <rFont val="Calibri"/>
        <family val="2"/>
      </rPr>
      <t>ΣTotal</t>
    </r>
  </si>
  <si>
    <r>
      <t xml:space="preserve">A. </t>
    </r>
    <r>
      <rPr>
        <sz val="14"/>
        <color theme="0"/>
        <rFont val="Calibri"/>
        <family val="2"/>
        <scheme val="minor"/>
      </rPr>
      <t>Gasto en bolsones al año</t>
    </r>
  </si>
  <si>
    <r>
      <t xml:space="preserve">B. </t>
    </r>
    <r>
      <rPr>
        <sz val="14"/>
        <color theme="0"/>
        <rFont val="Calibri"/>
        <family val="2"/>
        <scheme val="minor"/>
      </rPr>
      <t>Gasto en aros para los bolsones al año</t>
    </r>
  </si>
  <si>
    <r>
      <t xml:space="preserve">D. </t>
    </r>
    <r>
      <rPr>
        <sz val="14"/>
        <color theme="0"/>
        <rFont val="Calibri"/>
        <family val="2"/>
        <scheme val="minor"/>
      </rPr>
      <t>Cantidad de toneladas al año</t>
    </r>
  </si>
  <si>
    <r>
      <rPr>
        <sz val="14"/>
        <color theme="0"/>
        <rFont val="Calibri"/>
        <family val="2"/>
        <scheme val="minor"/>
      </rPr>
      <t>Costo operaciónal por tonelada</t>
    </r>
    <r>
      <rPr>
        <b/>
        <sz val="14"/>
        <color theme="0"/>
        <rFont val="Calibri"/>
        <family val="2"/>
        <scheme val="minor"/>
      </rPr>
      <t xml:space="preserve"> (C/D)</t>
    </r>
  </si>
  <si>
    <r>
      <t xml:space="preserve">C. </t>
    </r>
    <r>
      <rPr>
        <sz val="14"/>
        <color theme="0"/>
        <rFont val="Calibri"/>
        <family val="2"/>
      </rPr>
      <t>Costos operacionales totales al año</t>
    </r>
    <r>
      <rPr>
        <b/>
        <sz val="14"/>
        <color theme="0"/>
        <rFont val="Calibri"/>
        <family val="2"/>
      </rPr>
      <t xml:space="preserve"> (A+B)</t>
    </r>
  </si>
  <si>
    <r>
      <t xml:space="preserve">A. </t>
    </r>
    <r>
      <rPr>
        <sz val="14"/>
        <color theme="0"/>
        <rFont val="Calibri"/>
        <family val="2"/>
      </rPr>
      <t>Gasto en mantenimiento en el año</t>
    </r>
  </si>
  <si>
    <r>
      <t xml:space="preserve">B. </t>
    </r>
    <r>
      <rPr>
        <sz val="14"/>
        <color theme="0"/>
        <rFont val="Calibri"/>
        <family val="2"/>
      </rPr>
      <t>Cantidad de centros de acopio</t>
    </r>
  </si>
  <si>
    <r>
      <t xml:space="preserve">C. </t>
    </r>
    <r>
      <rPr>
        <sz val="14"/>
        <color theme="0"/>
        <rFont val="Calibri"/>
        <family val="2"/>
      </rPr>
      <t>Costo anual por centro de acopio</t>
    </r>
    <r>
      <rPr>
        <b/>
        <sz val="14"/>
        <color theme="0"/>
        <rFont val="Calibri"/>
        <family val="2"/>
      </rPr>
      <t xml:space="preserve"> (A/B)</t>
    </r>
  </si>
  <si>
    <r>
      <rPr>
        <sz val="14"/>
        <color theme="0"/>
        <rFont val="Calibri"/>
        <family val="2"/>
      </rPr>
      <t>Costo mensual de mantenimiento de maquinaria y equipo por centro de acopio</t>
    </r>
    <r>
      <rPr>
        <b/>
        <sz val="14"/>
        <color theme="0"/>
        <rFont val="Calibri"/>
        <family val="2"/>
      </rPr>
      <t xml:space="preserve"> (C/12)</t>
    </r>
  </si>
  <si>
    <r>
      <t xml:space="preserve">A. </t>
    </r>
    <r>
      <rPr>
        <sz val="14"/>
        <color theme="0"/>
        <rFont val="Calibri"/>
        <family val="2"/>
        <scheme val="minor"/>
      </rPr>
      <t>Gasto total en implementos de aseo el año en el centro de acopio 1</t>
    </r>
  </si>
  <si>
    <r>
      <t>B.</t>
    </r>
    <r>
      <rPr>
        <sz val="14"/>
        <color theme="0"/>
        <rFont val="Calibri"/>
        <family val="2"/>
        <scheme val="minor"/>
      </rPr>
      <t xml:space="preserve"> Gasto total en implementos de aseo el año en el centro de acopio 2</t>
    </r>
  </si>
  <si>
    <r>
      <t>C.</t>
    </r>
    <r>
      <rPr>
        <sz val="14"/>
        <color theme="0"/>
        <rFont val="Calibri"/>
        <family val="2"/>
        <scheme val="minor"/>
      </rPr>
      <t xml:space="preserve"> Gasto total en implementos de aseo el año en el centro de acopio 3</t>
    </r>
  </si>
  <si>
    <r>
      <t xml:space="preserve">D. </t>
    </r>
    <r>
      <rPr>
        <sz val="14"/>
        <color theme="0"/>
        <rFont val="Calibri"/>
        <family val="2"/>
        <scheme val="minor"/>
      </rPr>
      <t>Gasto total en implementos de aseo el año en el centro de acopio 4</t>
    </r>
  </si>
  <si>
    <r>
      <t>E.</t>
    </r>
    <r>
      <rPr>
        <sz val="14"/>
        <color theme="0"/>
        <rFont val="Calibri"/>
        <family val="2"/>
        <scheme val="minor"/>
      </rPr>
      <t>Gasto total en implementos de aseo</t>
    </r>
    <r>
      <rPr>
        <b/>
        <sz val="14"/>
        <color theme="0"/>
        <rFont val="Calibri"/>
        <family val="2"/>
        <scheme val="minor"/>
      </rPr>
      <t xml:space="preserve"> (A+B+C+D)</t>
    </r>
  </si>
  <si>
    <r>
      <t>F.</t>
    </r>
    <r>
      <rPr>
        <sz val="14"/>
        <color theme="0"/>
        <rFont val="Calibri"/>
        <family val="2"/>
        <scheme val="minor"/>
      </rPr>
      <t xml:space="preserve"> Gasto promedio por centro de acopio</t>
    </r>
    <r>
      <rPr>
        <b/>
        <sz val="14"/>
        <color theme="0"/>
        <rFont val="Calibri"/>
        <family val="2"/>
        <scheme val="minor"/>
      </rPr>
      <t xml:space="preserve"> (E/4)</t>
    </r>
  </si>
  <si>
    <r>
      <rPr>
        <sz val="14"/>
        <color theme="0"/>
        <rFont val="Calibri"/>
        <family val="2"/>
        <scheme val="minor"/>
      </rPr>
      <t xml:space="preserve">Costo mensual de mantenimiento de instalaciones por centro de acopio </t>
    </r>
    <r>
      <rPr>
        <b/>
        <sz val="14"/>
        <color theme="0"/>
        <rFont val="Calibri"/>
        <family val="2"/>
        <scheme val="minor"/>
      </rPr>
      <t>(F/12)</t>
    </r>
  </si>
  <si>
    <r>
      <t xml:space="preserve">A. </t>
    </r>
    <r>
      <rPr>
        <sz val="14"/>
        <color theme="0"/>
        <rFont val="Calibri"/>
        <family val="2"/>
        <scheme val="minor"/>
      </rPr>
      <t>Gasto total en servicios públicos el año en el centro de acopio 1</t>
    </r>
  </si>
  <si>
    <r>
      <t xml:space="preserve">B. </t>
    </r>
    <r>
      <rPr>
        <sz val="14"/>
        <color theme="0"/>
        <rFont val="Calibri"/>
        <family val="2"/>
        <scheme val="minor"/>
      </rPr>
      <t>Gasto total en servicios públicos el año en el centro de acopio 2</t>
    </r>
  </si>
  <si>
    <r>
      <t>C.</t>
    </r>
    <r>
      <rPr>
        <sz val="14"/>
        <color theme="0"/>
        <rFont val="Calibri"/>
        <family val="2"/>
        <scheme val="minor"/>
      </rPr>
      <t xml:space="preserve"> Gasto total en servicios públicos el año en el centro de acopio 3</t>
    </r>
  </si>
  <si>
    <r>
      <t xml:space="preserve">D. </t>
    </r>
    <r>
      <rPr>
        <sz val="14"/>
        <color theme="0"/>
        <rFont val="Calibri"/>
        <family val="2"/>
        <scheme val="minor"/>
      </rPr>
      <t>Gasto total en servicios públicos el año en el centro de acopio 4</t>
    </r>
  </si>
  <si>
    <r>
      <t>E.</t>
    </r>
    <r>
      <rPr>
        <sz val="14"/>
        <color theme="0"/>
        <rFont val="Calibri"/>
        <family val="2"/>
        <scheme val="minor"/>
      </rPr>
      <t xml:space="preserve">Gasto total en servicios públicos </t>
    </r>
    <r>
      <rPr>
        <b/>
        <sz val="14"/>
        <color theme="0"/>
        <rFont val="Calibri"/>
        <family val="2"/>
        <scheme val="minor"/>
      </rPr>
      <t>(A+B+C+D)</t>
    </r>
  </si>
  <si>
    <r>
      <t>F.</t>
    </r>
    <r>
      <rPr>
        <sz val="14"/>
        <color theme="0"/>
        <rFont val="Calibri"/>
        <family val="2"/>
        <scheme val="minor"/>
      </rPr>
      <t xml:space="preserve">Gasto promedio por centro de acopio </t>
    </r>
    <r>
      <rPr>
        <b/>
        <sz val="14"/>
        <color theme="0"/>
        <rFont val="Calibri"/>
        <family val="2"/>
        <scheme val="minor"/>
      </rPr>
      <t>(E/4)</t>
    </r>
  </si>
  <si>
    <r>
      <rPr>
        <sz val="14"/>
        <color theme="0"/>
        <rFont val="Calibri"/>
        <family val="2"/>
        <scheme val="minor"/>
      </rPr>
      <t xml:space="preserve">Costos fijos mensuales por centro de acopio </t>
    </r>
    <r>
      <rPr>
        <b/>
        <sz val="14"/>
        <color theme="0"/>
        <rFont val="Calibri"/>
        <family val="2"/>
        <scheme val="minor"/>
      </rPr>
      <t>(F/12)</t>
    </r>
  </si>
  <si>
    <t>Corresponde al valor de activos que fueron adquiridos mediante deuda o préstamos.</t>
  </si>
  <si>
    <t>Corresponde al valor de activos que fueron aportados por los accionistas de la empresa.</t>
  </si>
  <si>
    <t>Costo de deuda, medido como la tasa efectiva anual que se paga por el mismo. Para el caso se tuvo en cuenta el valor promedio de la tasa de interés de Ecuador.</t>
  </si>
  <si>
    <t>Costo del capital propio, medido como la tasa efectiva anual del costo de oportunidad sobre otras inversiones. Para el caso se considera como 0.</t>
  </si>
  <si>
    <t>Así, se calcula de la siguietne forma:</t>
  </si>
  <si>
    <t>Ra</t>
  </si>
  <si>
    <t>Rp</t>
  </si>
  <si>
    <t>Costo de capital</t>
  </si>
  <si>
    <t>Kajeno/Ktotal</t>
  </si>
  <si>
    <t>Kpropio/Ktotal</t>
  </si>
  <si>
    <t>Debido a que los gastos de administración son compartidos para la recolección de materiales reciclables y materiales no aprovechables fue necesario llevar a cabo una distribución según la cantidad de residuos que se reciben:</t>
  </si>
  <si>
    <t>El prestador dispone de los vehículos que utiliza para la recolección de los residuos no aprovechables, por lo anterior, es necesario calcular el costo de los vehículos proporcionalmente a su uso en cada actividad:</t>
  </si>
  <si>
    <r>
      <rPr>
        <b/>
        <sz val="14"/>
        <color theme="0"/>
        <rFont val="Calibri"/>
        <family val="2"/>
        <scheme val="minor"/>
      </rPr>
      <t>A.</t>
    </r>
    <r>
      <rPr>
        <sz val="14"/>
        <color theme="0"/>
        <rFont val="Calibri"/>
        <family val="2"/>
        <scheme val="minor"/>
      </rPr>
      <t xml:space="preserve"> Precio total de los vehículos:</t>
    </r>
  </si>
  <si>
    <r>
      <rPr>
        <b/>
        <sz val="14"/>
        <color theme="0"/>
        <rFont val="Calibri"/>
        <family val="2"/>
        <scheme val="minor"/>
      </rPr>
      <t xml:space="preserve">B. </t>
    </r>
    <r>
      <rPr>
        <sz val="14"/>
        <color theme="0"/>
        <rFont val="Calibri"/>
        <family val="2"/>
        <scheme val="minor"/>
      </rPr>
      <t>Cantidad de horas de uso en la recolección de residuos no reciclables</t>
    </r>
  </si>
  <si>
    <r>
      <rPr>
        <b/>
        <sz val="14"/>
        <color theme="0"/>
        <rFont val="Calibri"/>
        <family val="2"/>
        <scheme val="minor"/>
      </rPr>
      <t xml:space="preserve">C. </t>
    </r>
    <r>
      <rPr>
        <sz val="14"/>
        <color theme="0"/>
        <rFont val="Calibri"/>
        <family val="2"/>
        <scheme val="minor"/>
      </rPr>
      <t>Cantidad de horas de uso en la recolección de materiales reciclables</t>
    </r>
  </si>
  <si>
    <r>
      <t xml:space="preserve">A. </t>
    </r>
    <r>
      <rPr>
        <sz val="14"/>
        <color theme="0"/>
        <rFont val="Calibri"/>
        <family val="2"/>
        <scheme val="minor"/>
      </rPr>
      <t>Residuos no reciclables recolectados (ton/año)</t>
    </r>
  </si>
  <si>
    <r>
      <t xml:space="preserve">B. </t>
    </r>
    <r>
      <rPr>
        <sz val="14"/>
        <color theme="0"/>
        <rFont val="Calibri"/>
        <family val="2"/>
        <scheme val="minor"/>
      </rPr>
      <t>Residuos reciclables recolectados (ton/año)</t>
    </r>
  </si>
  <si>
    <r>
      <t xml:space="preserve">C. </t>
    </r>
    <r>
      <rPr>
        <sz val="14"/>
        <color theme="0"/>
        <rFont val="Calibri"/>
        <family val="2"/>
        <scheme val="minor"/>
      </rPr>
      <t>Gasto total anual en aspectos administrativos (nómina, contabilidad y compras)</t>
    </r>
  </si>
  <si>
    <r>
      <t xml:space="preserve">E. </t>
    </r>
    <r>
      <rPr>
        <sz val="14"/>
        <color theme="0"/>
        <rFont val="Calibri"/>
        <family val="2"/>
        <scheme val="minor"/>
      </rPr>
      <t xml:space="preserve">Gastos anuales asociados a la recolección de materiales reciclables </t>
    </r>
    <r>
      <rPr>
        <b/>
        <sz val="14"/>
        <color theme="0"/>
        <rFont val="Calibri"/>
        <family val="2"/>
        <scheme val="minor"/>
      </rPr>
      <t>(C*D)</t>
    </r>
  </si>
  <si>
    <r>
      <rPr>
        <sz val="14"/>
        <color theme="0"/>
        <rFont val="Calibri"/>
        <family val="2"/>
        <scheme val="minor"/>
      </rPr>
      <t xml:space="preserve">Porcentaje de gastos administrativos </t>
    </r>
    <r>
      <rPr>
        <b/>
        <sz val="14"/>
        <color theme="0"/>
        <rFont val="Calibri"/>
        <family val="2"/>
        <scheme val="minor"/>
      </rPr>
      <t>(E/F)</t>
    </r>
  </si>
  <si>
    <t>Posteriormente, se verifica con base en los costos totales en los que ha incurrido el prestador, qué porcentaje corresponde a los gastos adminsitrativos, para lo cual se lleva a cabo el siguiente procedimiento:</t>
  </si>
  <si>
    <r>
      <t xml:space="preserve">F. </t>
    </r>
    <r>
      <rPr>
        <sz val="14"/>
        <color theme="0"/>
        <rFont val="Calibri"/>
        <family val="2"/>
        <scheme val="minor"/>
      </rPr>
      <t>Costo total del escenario (fila 69 de la hoja Resultados)</t>
    </r>
  </si>
  <si>
    <r>
      <t xml:space="preserve">H. </t>
    </r>
    <r>
      <rPr>
        <sz val="14"/>
        <color theme="0"/>
        <rFont val="Calibri"/>
        <family val="2"/>
        <scheme val="minor"/>
      </rPr>
      <t>Costos asumidos por los recicladores</t>
    </r>
  </si>
  <si>
    <r>
      <t xml:space="preserve">G. </t>
    </r>
    <r>
      <rPr>
        <sz val="14"/>
        <color theme="0"/>
        <rFont val="Calibri"/>
        <family val="2"/>
        <scheme val="minor"/>
      </rPr>
      <t xml:space="preserve">Costo total anual del escenario </t>
    </r>
    <r>
      <rPr>
        <b/>
        <sz val="14"/>
        <color theme="0"/>
        <rFont val="Calibri"/>
        <family val="2"/>
        <scheme val="minor"/>
      </rPr>
      <t>(F*B)</t>
    </r>
  </si>
  <si>
    <r>
      <t>I.</t>
    </r>
    <r>
      <rPr>
        <sz val="14"/>
        <color theme="0"/>
        <rFont val="Calibri"/>
        <family val="2"/>
        <scheme val="minor"/>
      </rPr>
      <t xml:space="preserve"> Costos totales anuales asumidos por el prestador del servicio </t>
    </r>
  </si>
  <si>
    <t>1. Se diligencia con 0% el valor de los costos de capital y de gastos de administración</t>
  </si>
  <si>
    <t>2. Se calcula el costo total del escenario</t>
  </si>
  <si>
    <t>3. Se resta el costo asumido por los recicladores, para obtener el costo total anual asumido por el prestador del servicio</t>
  </si>
  <si>
    <t>4. Se calculan los gastos de administración sobre el valor calculado en el punto 3.</t>
  </si>
  <si>
    <t>Octubre de 2017</t>
  </si>
  <si>
    <t>El valor de la dotación fue necesario calcularlo a partir de costos de los elementos personales así:</t>
  </si>
  <si>
    <t xml:space="preserve"> </t>
  </si>
  <si>
    <t>Cálculo de costos de la recolección y transporte</t>
  </si>
  <si>
    <t>Costos financieros y de administración</t>
  </si>
  <si>
    <t>4 camiones motorizados medianos</t>
  </si>
  <si>
    <t>Cantidad de galones que consume cada vehículo por mes</t>
  </si>
  <si>
    <t>Posteriormente, seleccionamos en la misma hoja los escenarios que vamos a modelar. En este caso modelaremos el escenario 2, ya que el prestador tiene a cargo la recoleción y el transporte (con apoyo de los recicladores) y los recicladores tienen a cargo el manejo del centro de acopio:</t>
  </si>
  <si>
    <t>En caso que no conozcamos las características del equipo y de las rutas de recolección, podemos utilizar los datos de referencia del modelo, dejando las celdas sombreadas sin diligenciar (excepto en aquellas que nos pide que "seleccionemos" una opción), así:</t>
  </si>
  <si>
    <t>Para nuestro ejemplo, utilizaremos la siguiente información:</t>
  </si>
  <si>
    <r>
      <t xml:space="preserve">Precio proporcional a la recolección de materiales aprovechables </t>
    </r>
    <r>
      <rPr>
        <b/>
        <sz val="14"/>
        <color theme="0"/>
        <rFont val="Calibri"/>
        <family val="2"/>
        <scheme val="minor"/>
      </rPr>
      <t>(A*C/B)</t>
    </r>
  </si>
  <si>
    <t xml:space="preserve">Posteriormente, indicamos la composición de residuos. Si no conocemos la composición de los residuos, podemos utilizar la composición que el modelo trae previamente diligenciada como valores de referencia, en ese caso podemos dejar vacías las celdas sombreadas. </t>
  </si>
  <si>
    <t>Para esta sección contamos con la siguiente información:</t>
  </si>
  <si>
    <t>Esta información debemos diligenciarla en la primera parte de la sección de "Separación, acopio y embalaje", como se puede observar en la siguiente imagen:</t>
  </si>
  <si>
    <t>Esta información debemos diligenciarla en la sección de "Información laboral general"</t>
  </si>
  <si>
    <t>Esta información debemos diligenciarla en el componente de costos variables e indicar cuál es el actor responsable por dichos costos:</t>
  </si>
  <si>
    <t>Al igual que los costos variables, la información de costos fijos la diligenciamos en la sección "Información de costos fijos" e indicamos el actor que incurre en estos costos:</t>
  </si>
  <si>
    <r>
      <t xml:space="preserve">D. </t>
    </r>
    <r>
      <rPr>
        <sz val="14"/>
        <color theme="0"/>
        <rFont val="Calibri"/>
        <family val="2"/>
        <scheme val="minor"/>
      </rPr>
      <t>Proporción de gastos para recolección de materiales recicables</t>
    </r>
    <r>
      <rPr>
        <b/>
        <sz val="14"/>
        <color theme="0"/>
        <rFont val="Calibri"/>
        <family val="2"/>
        <scheme val="minor"/>
      </rPr>
      <t xml:space="preserve"> (B/(A+B))</t>
    </r>
  </si>
  <si>
    <t>Este valor se diligencia en la sección "Información de costos de administración" y se indica el actor que está a cargo del gasto, que en este caso es el prestador del servicio de limpieza urbana:</t>
  </si>
  <si>
    <r>
      <rPr>
        <sz val="14"/>
        <color theme="0"/>
        <rFont val="Calibri"/>
        <family val="2"/>
        <scheme val="minor"/>
      </rPr>
      <t>Cantidad de recicladores en la recolección</t>
    </r>
    <r>
      <rPr>
        <b/>
        <sz val="14"/>
        <color theme="0"/>
        <rFont val="Calibri"/>
        <family val="2"/>
        <scheme val="minor"/>
      </rPr>
      <t xml:space="preserve"> (A/B/C)</t>
    </r>
  </si>
  <si>
    <t>A continuación digitamos la cantidad de residuos reciclables que se recogen y su composición. Como ya conocemos la cantidad de materiales que se van a reciclar al año, seleccionamos la opción 1.</t>
  </si>
  <si>
    <t>La herramienta permite estimar el costo de esquemas existentes o de un esquema hipotético que se diseña a través de la herramienta y sus valores de referencia. En este ejemplo se llevará a cabo la estimación para un esquema existente.</t>
  </si>
  <si>
    <t>Seleccionamos el tipo de vehículo a modelar, para nuestro ejemplo seleccionamos "Combinación de equipo de tracción manual con camión", dado que según la descripción del esquema, los recicladores realizan la recolección manual y luego pasa el camión de la emprea y recoge los residuos reciclables para llevarlos a los centros de acopio.</t>
  </si>
  <si>
    <t>Este componente contiene la misma información que en el caso de la recolección y los costos son cubiertos por el prestador de limpieza urbana. Sin embargo, debe distribuirse en la jornada (ya que la mitad trabajan en recolección y la mitad en el centro de acopio) y la cantidad de centros de acopio existentes:</t>
  </si>
  <si>
    <t>Estos datos se diligencian en la sección "Información de costos variables":</t>
  </si>
  <si>
    <t>A continuación se presenta un ejemplo de aplicación de la herramienta. Se recomienda leer previamente la Nota Técnica y las instrucciones, con el fin de lograr una mejor comprensión de su uso.</t>
  </si>
  <si>
    <t>En un municipio existe un prestador de limpieza urbana y cuatro organizaciones de recicladores. El prestador emplea sus vehículos, conductores y operarios de recolección para llevar a cabo la recolección de materiales reciclables en conjunto con las organizaciones. La separación, embalaje y acopio de los materiales reciclables, se lleva a cabo en 4 centros de acopio que son manejados por las organizaciones de recicladores. En las organizaciones participan 110 recicladores que distribuyen su jornada entre la recolección y el trabajo en el centro de acopio.</t>
  </si>
  <si>
    <t>La información básica del centro de acopio se muestra a continuación.</t>
  </si>
  <si>
    <t>Área del centro (m2)</t>
  </si>
  <si>
    <r>
      <t>A.</t>
    </r>
    <r>
      <rPr>
        <sz val="14"/>
        <color theme="0"/>
        <rFont val="Calibri"/>
        <family val="2"/>
        <scheme val="minor"/>
      </rPr>
      <t xml:space="preserve"> Cantidad de materiales rechazados (ton/año)</t>
    </r>
  </si>
  <si>
    <r>
      <t xml:space="preserve">B. </t>
    </r>
    <r>
      <rPr>
        <sz val="14"/>
        <color theme="0"/>
        <rFont val="Calibri"/>
        <family val="2"/>
        <scheme val="minor"/>
      </rPr>
      <t>Cantidad de materiales recolectados (ton/año)</t>
    </r>
  </si>
  <si>
    <t>La herramienta permite que el usuario escoja la cantidad de centros, sin embargo el área debe ser estándar para todos los centros. Por lo anterior se obtiene un área promedio para todos los centros. En la siguiente tabla, se muestra cómo se calcula el área promedio para cada los centros:</t>
  </si>
  <si>
    <r>
      <t>A.</t>
    </r>
    <r>
      <rPr>
        <sz val="14"/>
        <color theme="0"/>
        <rFont val="Calibri"/>
        <family val="2"/>
        <scheme val="minor"/>
      </rPr>
      <t>Cantidad de recicladores</t>
    </r>
  </si>
  <si>
    <r>
      <t>B.</t>
    </r>
    <r>
      <rPr>
        <sz val="14"/>
        <color theme="0"/>
        <rFont val="Calibri"/>
        <family val="2"/>
        <scheme val="minor"/>
      </rPr>
      <t>Número de jornadas</t>
    </r>
  </si>
  <si>
    <r>
      <t>C.</t>
    </r>
    <r>
      <rPr>
        <sz val="14"/>
        <color theme="0"/>
        <rFont val="Calibri"/>
        <family val="2"/>
        <scheme val="minor"/>
      </rPr>
      <t>Cantidad de centros de acopio</t>
    </r>
  </si>
  <si>
    <t>Estos datos se diligencian en la sección "Información de costos fijos":</t>
  </si>
  <si>
    <t>Debido a que los recicladores no incurren en gastos financieros (intereses por préstamos o similares), ni en gastos administrativos, las secciones de estos parámetros se diligencian con 0.</t>
  </si>
  <si>
    <t>Debemos distribuir la cantidad de recicladores que trabajan en la recolección, ya que su jornada se divide entre la recoleción y el centro de acopio:</t>
  </si>
  <si>
    <t>Esta información debemos diligenciarla en la casilla a la que nos remite el vínculo. Debemos tener en cuenta que un "equipo de tracción manual", puede ser cualquier tipo de medio en el que se desplacen los materiales reciclables, por lo que en nuestro ejemplo se considera que hay 55 costales o "equipos de tracción menual".</t>
  </si>
  <si>
    <t>Seleccionamos el país, diligenciamos el nombre de la ciudad, la fecha en que estamos realizando este ejercicio, la moneda en que vamos a hacer el ejercicio y la tasa de cambio de la moneda respecto al dólar. Para nuestro ejemplo calcularemos los resultados en dólares.</t>
  </si>
  <si>
    <t>En esta hoja, se muestra primero la información general que se está modelando:</t>
  </si>
  <si>
    <t>Posteriormente, se muestran los recursos que se utilizan en el esquema, es decir la cantidad de vehículos y personal necesario. Como en este caso estábamos calculando un valor existente, los resultados deben coincidir exactamente con lo que diligenciamos.</t>
  </si>
  <si>
    <t xml:space="preserve">Luego observamos los resultados en términos monetarios. Primero, vemos el "Resultado general por escenario" que refleja los resultados como si un solo actor dispusiera de la totalidad de los recursos y recibiera los ingresos totales. De acuerdo con este, si un actor llevara a cabo toda la actividad y sólo recibiera los ingresos por comercialización del material reciclable no sería viable. </t>
  </si>
  <si>
    <t xml:space="preserve">En la parte inferior de estos resultados, podemos encontrar el resultado para cada actor. Vemos, entonces, que debido a que el prestador no recibe ingresos y por el contrario lleva a cabo con sus recursos la recolección y el transporte y hace aportes al centro de acopio, tiene un resultado negativo. </t>
  </si>
  <si>
    <t>Por el contrario, los recicladores reciben los ingresos de la venta del material y reciben aportes del prestador del servicio de limpieza urbana, por lo que obtienen un resultado positivo del ejercicio:</t>
  </si>
  <si>
    <t>Por último, debido a que el municipio no realiza ningún aporte a la actividad, sus resultados son 0.</t>
  </si>
  <si>
    <t>En la herramienta se presenta una comparación de los resultados de referencia (Hoja Comparación Ref) con los resultados del escenario elaborado por el usuario. Para nuestro ejemplo, la comparación tiene el siguiente resultado:</t>
  </si>
  <si>
    <t>Este valor corresponde al porcentaje de residuos que no pueden ser aprovechados, se calcula como la cantidad de material sale del centro de acopio y debe ser dispuesto en el relleno sanitario sobre la cantidad total de materiales reciclables recolectados.</t>
  </si>
  <si>
    <t>En los centros de acopio hay material que se rechaza y es recogido por la empresa de limpieza urbana, quienes llevan estos residuos al relleno sanitario y, , generalmente, debe pagarse por este servicio. En nuestro ejemplo no se paga ningún valor por este servicio, así que no es necesario diligenciar información en esta sección.</t>
  </si>
  <si>
    <r>
      <t>Para este caso se hizo un inventario de toda la maquinaria y equipo de los centros de acopio. En el modelo estas cantidades deben dividirse entre 4, ya que el formulario requiere que se indiquen las cantidades promedio p</t>
    </r>
    <r>
      <rPr>
        <u/>
        <sz val="16"/>
        <color theme="1"/>
        <rFont val="Calibri"/>
        <family val="2"/>
        <scheme val="minor"/>
      </rPr>
      <t>or cada centro de acopio</t>
    </r>
    <r>
      <rPr>
        <sz val="16"/>
        <color theme="1"/>
        <rFont val="Calibri"/>
        <family val="2"/>
        <scheme val="minor"/>
      </rPr>
      <t xml:space="preserve">. </t>
    </r>
  </si>
  <si>
    <t>Esta información deemos diligenciarla en la sección "Información de inversiones en el centro de acopio" e indicar la entidad que aporta cada inversión. En nuestro ejemplo, el prestador del servicio de limpieza urbana es quien aporta las inversiones. Es importante, además, que en los campos en los que no hay este tipo de maquinaria se indique el valor de 0; porque de lo contrario el modelo tomará el valor de referencia:</t>
  </si>
  <si>
    <t>La información sobre los salarios y demás costos de personal debe diligenciarse en esta sección, sobre esta información no hay datos de referencia, por lo que para calcular salarios es obligatorio diligenciarla. En nuestro ejemplo el prestador de limpieza urbana es quien paga los salarios de los operarios de recolección, por lo tanto debemos indicar que él es la fuente de los recursos necesarios para cubrir este costo. Con la información de la anterior tabla se diligencia:</t>
  </si>
  <si>
    <t>Para el cálculo de los ingresos, debemos tener en cuenta que el centro de acopio compra el material a un precio y luego lo vende a un precio diferente; estos valores los debemos anotar por separado, según nos lo indica el formulario. En nuestro ejemplo, el centro de acopio no compra el material, dado que la recolección y la clasificación se hace conjuntamente entre la empresa de limpieza urbana y la organización de recicladores, por tanto este valor es 0 y debemos diligenciarlo para todos los tipos de material:</t>
  </si>
  <si>
    <t>Por último, debemos indicar si existe algún tipo de remuneración por parte del municipio o los usuarios por el servicio de recolección, transporte, acopio y clasificación de los materiales reciclables o si existe alguna remuneración adicional. Debemos tener en cuenta que ya se ha diligenciado los salarios que aporta el prestador en la hoja, así que NO deberíamos indicarlos nuevamente. Como en nuestro ejemplo no hay otra remuneración, dejamos estos espacios en cero.</t>
  </si>
  <si>
    <t>Así, ya hemos terminado de diligenciar los datos  de entrada de la organización de recicladores.</t>
  </si>
  <si>
    <t>De acuerdo con el escenario seleccionado, los recicladores tienen a su cargo el centro de acopio, por lo tanto no es necesario diligenciar información de recolección y transporte, puesta esta actividad la realiza el prestador de limpieza urbana. En consecuencia, directamente diligenciamos la Sección 2: "Separación, clasificación y embalaje". A continuación, vamos a explicar cómo se calcularon y diligenciaron estos parámetros.</t>
  </si>
  <si>
    <t>En este ejemplo, vamos a asumir que es un sistema que funciona actualmente, por lo cual conocemos del prestador de limpieza urbana la cantidades de vehículos, operarios y conductores que emplea para realizar la recolección selectiva, por lo cual en la hoja "Datos Prestador" seleccionamos la opción de la fila 10 "Si conoce las cantidades de vehículos, operarios y conductores haga clic aquí"</t>
  </si>
  <si>
    <t>A excepción de los elementos que utilizan los recicladores para llevar a cabo la recolección, el prestador de limpieza urbana asume la totalidad de los costos de recolección, excepto los equipos de tracción manual. Por lo que diligenciamos la información de la siguiente forma:</t>
  </si>
  <si>
    <t>En la siguiente tabla se exponen los parámetros laborales de los empleados a cargo del prestador de limpieza urbana:</t>
  </si>
  <si>
    <t>En este ejemplo el prestador de limpieza urbana es quien realiza el pago de los salarios a los recicladores. Al igual que en el centro de acopio, se debe distribuir la cantidad de personas que trabajan entre la recolección y el centro de acopio. Los costos laborales para este personal son los siguientes:</t>
  </si>
  <si>
    <t>Esta información la diligenciamos en la sección información laboral e indicamos que el prestador es quien se encarga de cubrir el costo laboral de la actividad de recolección y transporte selectivo</t>
  </si>
  <si>
    <t>El formulario de información requiere que los costos fijos se diligencien en valor por mes por vehículo. Para lo anterior, se sumaron los costos totales del año y se convirtieron a valores por mes:</t>
  </si>
  <si>
    <t>Costos financieros y de administración:</t>
  </si>
  <si>
    <t>Para la organización de recicladores, el costo de capital y gastos de adminsitración se tomó como 0, dado que no incuren en los mimos. En cambio para el prestador del servicio de limpieza urbana se estimaron, de la siguiente forma, para el cálculo de los costos financieros, el modelo requiere que se indique una tasa de interés; esta tasa puede ser calculada a partir del método WACC (costo promedio ponderado de capital, por sus siglas en inglés), como fue el caso:</t>
  </si>
  <si>
    <t xml:space="preserve">Esta información la diligenciamos en la sección "Información del costo de capital". Esta tasa afecta el valor de las inversiones y de acuerdo con cada actor que las lleve a cabo, se distribuye. Adicionalmente, debemos indicar el número promedio de días que tardan los clientes en pagar el material reciclable que se les vende. En este ejemplo se asume igual a 30 dìas. </t>
  </si>
  <si>
    <t>El prestador apoya con los recursos que recibe del servicio de recolección y transporte de residuos mixtos al esquema de reciclaje presentado. Por lo anterior no se considerarán ingresos para el prestador de limpieza urbana.</t>
  </si>
  <si>
    <t>Hasta aquí se ha completado el proceso de diligenciamiento de datos de entrada, y en consecuencia es posible visualiazar los resultados del ejercicio, como se explica a continuación:</t>
  </si>
  <si>
    <t>En esta hoja se presentan los datos para ser comparados con otros escenarios, como en este ejemplo al inicio del ejercicio indicamos que sólo ibamos a modelar el escenario 2, entonces no se muestran los resultados para otros escenarios. Sin embargo, es interesante observar cómo se distribuyen los costos de acuerdo con cada aspecto, en la gráfica vemos que menos del 10% son costos de inversión, fijos y variables y más del 90% son costos laborales.</t>
  </si>
  <si>
    <t>De acuerdo con los resultados, la cantidad de vehículos y trabajadores en la recolección y transporte empleada en el esquema actual de manejo de materiales es superior a la cantidad recomendada según los valores de referencia del modelo, debido a que se emplea un mecanismo de recolección de residuos con baja capacidad de carga (fundas o costales). Por lo tanto, en este ejemplo se concluye que es recomendable que los recicladores puedan acceder a vehículos de tracción manual con rodamiento para que puedan movilizarse mejor y con esto incrementar su capacidad de carga de material por viaje.  Esta razón es consecuente con la cantidad de trabajadores que se compara.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</si>
</sst>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0.00\ &quot;€&quot;;[Red]\-#,##0.00\ &quot;€&quot;"/>
    <numFmt numFmtId="165" formatCode="_-* #,##0.00\ &quot;€&quot;_-;\-* #,##0.00\ &quot;€&quot;_-;_-* &quot;-&quot;??\ &quot;€&quot;_-;_-@_-"/>
    <numFmt numFmtId="166" formatCode="_-* #,##0.00\ _€_-;\-* #,##0.00\ _€_-;_-* &quot;-&quot;??\ _€_-;_-@_-"/>
    <numFmt numFmtId="167" formatCode="_-* #,##0\ _€_-;\-* #,##0\ _€_-;_-* &quot;-&quot;??\ _€_-;_-@_-"/>
    <numFmt numFmtId="168" formatCode="_-* #,##0.000\ _€_-;\-* #,##0.000\ _€_-;_-* &quot;-&quot;??\ _€_-;_-@_-"/>
    <numFmt numFmtId="169" formatCode="_-* #,##0.000\ _€_-;\-* #,##0.000\ _€_-;_-* &quot;-&quot;???\ _€_-;_-@_-"/>
    <numFmt numFmtId="170" formatCode="[$$-240A]\ #,##0.00;[Red]\-[$$-240A]\ #,##0.00"/>
    <numFmt numFmtId="171" formatCode="[$$-240A]\ #,##0;[Red]\-[$$-240A]\ #,##0"/>
    <numFmt numFmtId="172" formatCode="[$$-240A]\ #,##0"/>
    <numFmt numFmtId="173" formatCode="0.0%"/>
    <numFmt numFmtId="174" formatCode="#,##0.00_ ;\-#,##0.00\ "/>
    <numFmt numFmtId="175" formatCode="#,##0_ ;\-#,##0\ "/>
    <numFmt numFmtId="176" formatCode="[$$-45C]#,##0;\-[$$-45C]#,##0"/>
    <numFmt numFmtId="177" formatCode="[$$-45C]#,##0.00"/>
    <numFmt numFmtId="178" formatCode="[$$-45C]#,##0.0;\-[$$-45C]#,##0.0"/>
    <numFmt numFmtId="179" formatCode="[$$-45C]#,##0.00;\-[$$-45C]#,##0.00"/>
    <numFmt numFmtId="180" formatCode="[$$-45C]#,##0"/>
    <numFmt numFmtId="181" formatCode="0.00000%"/>
    <numFmt numFmtId="182" formatCode="_ [$$-340A]* #,##0.00_ ;_ [$$-340A]* \-#,##0.00_ ;_ [$$-340A]* &quot;-&quot;??_ ;_ @_ "/>
    <numFmt numFmtId="183" formatCode="&quot;$&quot;#,##0"/>
    <numFmt numFmtId="184" formatCode="0.00000"/>
    <numFmt numFmtId="185" formatCode="#,##0\ [$USD]"/>
    <numFmt numFmtId="186" formatCode="#,##0.0\ [$USD]"/>
    <numFmt numFmtId="187" formatCode="#,##0.00\ [$USD]"/>
    <numFmt numFmtId="188" formatCode="#,##0\ [$USD];\-#,##0\ [$USD]"/>
  </numFmts>
  <fonts count="96" x14ac:knownFonts="1">
    <font>
      <sz val="11"/>
      <color theme="1"/>
      <name val="Calibri"/>
      <family val="2"/>
      <scheme val="minor"/>
    </font>
    <font>
      <b/>
      <sz val="11"/>
      <color theme="1"/>
      <name val="Calibri"/>
      <family val="2"/>
      <scheme val="minor"/>
    </font>
    <font>
      <b/>
      <sz val="11"/>
      <color rgb="FF49423D"/>
      <name val="Arial Narrow"/>
      <family val="2"/>
    </font>
    <font>
      <sz val="11"/>
      <color theme="1"/>
      <name val="Arial Narrow"/>
      <family val="2"/>
    </font>
    <font>
      <sz val="11"/>
      <name val="Arial Narrow"/>
      <family val="2"/>
    </font>
    <font>
      <sz val="9"/>
      <color indexed="81"/>
      <name val="Tahoma"/>
      <family val="2"/>
    </font>
    <font>
      <sz val="11"/>
      <color theme="1"/>
      <name val="Calibri"/>
      <family val="2"/>
      <scheme val="minor"/>
    </font>
    <font>
      <sz val="11"/>
      <color rgb="FFFF0000"/>
      <name val="Calibri"/>
      <family val="2"/>
      <scheme val="minor"/>
    </font>
    <font>
      <b/>
      <sz val="16"/>
      <color theme="1"/>
      <name val="Calibri"/>
      <family val="2"/>
      <scheme val="minor"/>
    </font>
    <font>
      <i/>
      <sz val="11"/>
      <color theme="1"/>
      <name val="Calibri"/>
      <family val="2"/>
      <scheme val="minor"/>
    </font>
    <font>
      <i/>
      <sz val="18"/>
      <color theme="1"/>
      <name val="Calibri"/>
      <family val="2"/>
      <scheme val="minor"/>
    </font>
    <font>
      <sz val="12"/>
      <color theme="1"/>
      <name val="Calibri"/>
      <family val="2"/>
      <scheme val="minor"/>
    </font>
    <font>
      <b/>
      <sz val="18"/>
      <color theme="1"/>
      <name val="Calibri"/>
      <family val="2"/>
      <scheme val="minor"/>
    </font>
    <font>
      <sz val="11"/>
      <color theme="0"/>
      <name val="Calibri"/>
      <family val="2"/>
      <scheme val="minor"/>
    </font>
    <font>
      <sz val="18"/>
      <color theme="1"/>
      <name val="Calibri"/>
      <family val="2"/>
      <scheme val="minor"/>
    </font>
    <font>
      <b/>
      <sz val="11"/>
      <color theme="3"/>
      <name val="Calibri"/>
      <family val="2"/>
      <scheme val="minor"/>
    </font>
    <font>
      <sz val="11"/>
      <name val="Calibri"/>
      <family val="2"/>
      <scheme val="minor"/>
    </font>
    <font>
      <sz val="10"/>
      <color theme="1"/>
      <name val="Calibri"/>
      <family val="2"/>
      <scheme val="minor"/>
    </font>
    <font>
      <b/>
      <sz val="18"/>
      <color theme="0"/>
      <name val="Calibri"/>
      <family val="2"/>
      <scheme val="minor"/>
    </font>
    <font>
      <b/>
      <sz val="14"/>
      <color theme="1"/>
      <name val="Calibri"/>
      <family val="2"/>
      <scheme val="minor"/>
    </font>
    <font>
      <i/>
      <sz val="14"/>
      <color theme="1"/>
      <name val="Calibri"/>
      <family val="2"/>
      <scheme val="minor"/>
    </font>
    <font>
      <b/>
      <sz val="11"/>
      <name val="Calibri"/>
      <family val="2"/>
      <scheme val="minor"/>
    </font>
    <font>
      <b/>
      <sz val="9"/>
      <color indexed="81"/>
      <name val="Tahoma"/>
      <family val="2"/>
    </font>
    <font>
      <b/>
      <sz val="11"/>
      <color theme="0"/>
      <name val="Calibri"/>
      <family val="2"/>
      <scheme val="minor"/>
    </font>
    <font>
      <sz val="14"/>
      <color theme="1"/>
      <name val="Calibri"/>
      <family val="2"/>
      <scheme val="minor"/>
    </font>
    <font>
      <sz val="8"/>
      <color theme="1"/>
      <name val="Calibri"/>
      <family val="2"/>
      <scheme val="minor"/>
    </font>
    <font>
      <sz val="18"/>
      <color theme="0"/>
      <name val="Calibri"/>
      <family val="2"/>
      <scheme val="minor"/>
    </font>
    <font>
      <b/>
      <sz val="10"/>
      <color theme="1"/>
      <name val="Calibri"/>
      <family val="2"/>
      <scheme val="minor"/>
    </font>
    <font>
      <u/>
      <sz val="11"/>
      <color theme="10"/>
      <name val="Calibri"/>
      <family val="2"/>
      <scheme val="minor"/>
    </font>
    <font>
      <b/>
      <sz val="16"/>
      <color theme="0"/>
      <name val="Calibri"/>
      <family val="2"/>
      <scheme val="minor"/>
    </font>
    <font>
      <u/>
      <sz val="11"/>
      <color theme="1"/>
      <name val="Calibri"/>
      <family val="2"/>
      <scheme val="minor"/>
    </font>
    <font>
      <b/>
      <sz val="12"/>
      <color theme="0"/>
      <name val="Calibri"/>
      <family val="2"/>
      <scheme val="minor"/>
    </font>
    <font>
      <b/>
      <sz val="12"/>
      <color theme="1"/>
      <name val="Calibri"/>
      <family val="2"/>
      <scheme val="minor"/>
    </font>
    <font>
      <b/>
      <sz val="10"/>
      <color theme="0"/>
      <name val="Calibri"/>
      <family val="2"/>
      <scheme val="minor"/>
    </font>
    <font>
      <b/>
      <sz val="14"/>
      <color theme="0"/>
      <name val="Calibri"/>
      <family val="2"/>
      <scheme val="minor"/>
    </font>
    <font>
      <b/>
      <sz val="20"/>
      <color theme="0"/>
      <name val="Calibri"/>
      <family val="2"/>
      <scheme val="minor"/>
    </font>
    <font>
      <sz val="20"/>
      <color theme="1"/>
      <name val="Calibri"/>
      <family val="2"/>
      <scheme val="minor"/>
    </font>
    <font>
      <sz val="9"/>
      <color theme="1"/>
      <name val="Calibri"/>
      <family val="2"/>
      <scheme val="minor"/>
    </font>
    <font>
      <i/>
      <sz val="11"/>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i/>
      <sz val="12"/>
      <color theme="1"/>
      <name val="Calibri"/>
      <family val="2"/>
      <scheme val="minor"/>
    </font>
    <font>
      <b/>
      <sz val="11"/>
      <color rgb="FFFF0000"/>
      <name val="Calibri"/>
      <family val="2"/>
      <scheme val="minor"/>
    </font>
    <font>
      <b/>
      <i/>
      <sz val="11"/>
      <color theme="1"/>
      <name val="Calibri"/>
      <family val="2"/>
      <scheme val="minor"/>
    </font>
    <font>
      <i/>
      <u/>
      <sz val="11"/>
      <color theme="1"/>
      <name val="Calibri"/>
      <family val="2"/>
      <scheme val="minor"/>
    </font>
    <font>
      <sz val="11"/>
      <color rgb="FF006100"/>
      <name val="Calibri"/>
      <family val="2"/>
      <scheme val="minor"/>
    </font>
    <font>
      <b/>
      <sz val="20"/>
      <color theme="1"/>
      <name val="Calibri"/>
      <family val="2"/>
      <scheme val="minor"/>
    </font>
    <font>
      <u/>
      <sz val="14"/>
      <color theme="10"/>
      <name val="Calibri"/>
      <family val="2"/>
      <scheme val="minor"/>
    </font>
    <font>
      <u/>
      <sz val="22"/>
      <color theme="10"/>
      <name val="Calibri"/>
      <family val="2"/>
      <scheme val="minor"/>
    </font>
    <font>
      <b/>
      <sz val="12"/>
      <color rgb="FF006100"/>
      <name val="Calibri"/>
      <family val="2"/>
      <scheme val="minor"/>
    </font>
    <font>
      <b/>
      <u/>
      <sz val="11"/>
      <color theme="1"/>
      <name val="Calibri"/>
      <family val="2"/>
      <scheme val="minor"/>
    </font>
    <font>
      <b/>
      <sz val="11"/>
      <color theme="4"/>
      <name val="Calibri"/>
      <family val="2"/>
      <scheme val="minor"/>
    </font>
    <font>
      <sz val="11"/>
      <color theme="1"/>
      <name val="Calibri"/>
      <family val="2"/>
      <scheme val="minor"/>
    </font>
    <font>
      <b/>
      <sz val="18"/>
      <color theme="1"/>
      <name val="Calibri"/>
      <family val="2"/>
      <scheme val="minor"/>
    </font>
    <font>
      <i/>
      <sz val="12"/>
      <color theme="1"/>
      <name val="Calibri"/>
      <family val="2"/>
      <scheme val="minor"/>
    </font>
    <font>
      <i/>
      <sz val="18"/>
      <color theme="1"/>
      <name val="Calibri"/>
      <family val="2"/>
      <scheme val="minor"/>
    </font>
    <font>
      <sz val="12"/>
      <color theme="1"/>
      <name val="Calibri"/>
      <family val="2"/>
      <scheme val="minor"/>
    </font>
    <font>
      <i/>
      <sz val="14"/>
      <color theme="1"/>
      <name val="Calibri"/>
      <family val="2"/>
      <scheme val="minor"/>
    </font>
    <font>
      <b/>
      <sz val="18"/>
      <color theme="0"/>
      <name val="Calibri"/>
      <family val="2"/>
      <scheme val="minor"/>
    </font>
    <font>
      <sz val="18"/>
      <color theme="1"/>
      <name val="Calibri"/>
      <family val="2"/>
      <scheme val="minor"/>
    </font>
    <font>
      <b/>
      <sz val="12"/>
      <color theme="0"/>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sz val="11"/>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b/>
      <sz val="10"/>
      <color theme="0"/>
      <name val="Calibri"/>
      <family val="2"/>
      <scheme val="minor"/>
    </font>
    <font>
      <sz val="11"/>
      <color theme="0"/>
      <name val="Calibri"/>
      <family val="2"/>
      <scheme val="minor"/>
    </font>
    <font>
      <b/>
      <sz val="11"/>
      <color theme="3"/>
      <name val="Calibri"/>
      <family val="2"/>
      <scheme val="minor"/>
    </font>
    <font>
      <sz val="8"/>
      <color theme="1"/>
      <name val="Calibri"/>
      <family val="2"/>
      <scheme val="minor"/>
    </font>
    <font>
      <b/>
      <i/>
      <sz val="14"/>
      <color theme="1"/>
      <name val="Calibri"/>
      <family val="2"/>
      <scheme val="minor"/>
    </font>
    <font>
      <sz val="14"/>
      <name val="Calibri"/>
      <family val="2"/>
      <scheme val="minor"/>
    </font>
    <font>
      <i/>
      <u/>
      <sz val="14"/>
      <color theme="1"/>
      <name val="Calibri"/>
      <family val="2"/>
      <scheme val="minor"/>
    </font>
    <font>
      <b/>
      <sz val="14"/>
      <color theme="1"/>
      <name val="Calibri"/>
      <family val="2"/>
    </font>
    <font>
      <u/>
      <sz val="14"/>
      <color theme="1"/>
      <name val="Calibri"/>
      <family val="2"/>
      <scheme val="minor"/>
    </font>
    <font>
      <b/>
      <i/>
      <sz val="18"/>
      <color theme="1"/>
      <name val="Calibri"/>
      <family val="2"/>
      <scheme val="minor"/>
    </font>
    <font>
      <sz val="14"/>
      <color theme="1"/>
      <name val="Calibri"/>
      <family val="2"/>
    </font>
    <font>
      <b/>
      <sz val="14"/>
      <color theme="0"/>
      <name val="Calibri"/>
      <family val="2"/>
    </font>
    <font>
      <b/>
      <sz val="14"/>
      <name val="Calibri"/>
      <family val="2"/>
      <scheme val="minor"/>
    </font>
    <font>
      <sz val="14"/>
      <color theme="0"/>
      <name val="Calibri"/>
      <family val="2"/>
      <scheme val="minor"/>
    </font>
    <font>
      <sz val="12"/>
      <color theme="0"/>
      <name val="Calibri"/>
      <family val="2"/>
      <scheme val="minor"/>
    </font>
    <font>
      <sz val="14"/>
      <color theme="0"/>
      <name val="Calibri"/>
      <family val="2"/>
    </font>
    <font>
      <b/>
      <sz val="22"/>
      <color theme="0"/>
      <name val="Calibri"/>
      <family val="2"/>
      <scheme val="minor"/>
    </font>
    <font>
      <b/>
      <i/>
      <sz val="16"/>
      <color theme="1"/>
      <name val="Calibri"/>
      <family val="2"/>
      <scheme val="minor"/>
    </font>
    <font>
      <b/>
      <i/>
      <sz val="20"/>
      <color theme="1"/>
      <name val="Calibri"/>
      <family val="2"/>
      <scheme val="minor"/>
    </font>
    <font>
      <b/>
      <sz val="20"/>
      <color rgb="FFFF0000"/>
      <name val="Calibri"/>
      <family val="2"/>
    </font>
    <font>
      <sz val="14"/>
      <color rgb="FFFF0000"/>
      <name val="Calibri"/>
      <family val="2"/>
      <scheme val="minor"/>
    </font>
    <font>
      <sz val="16"/>
      <color theme="1"/>
      <name val="Calibri"/>
      <family val="2"/>
      <scheme val="minor"/>
    </font>
    <font>
      <u/>
      <sz val="16"/>
      <color theme="1"/>
      <name val="Calibri"/>
      <family val="2"/>
      <scheme val="minor"/>
    </font>
    <font>
      <i/>
      <u/>
      <sz val="16"/>
      <color theme="1"/>
      <name val="Calibri"/>
      <family val="2"/>
      <scheme val="minor"/>
    </font>
    <font>
      <i/>
      <u/>
      <sz val="18"/>
      <color theme="1"/>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8" tint="-0.49998474074526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A5A5A5"/>
      </patternFill>
    </fill>
    <fill>
      <patternFill patternType="solid">
        <fgColor theme="7" tint="0.79998168889431442"/>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ck">
        <color theme="3"/>
      </left>
      <right/>
      <top/>
      <bottom/>
      <diagonal/>
    </border>
    <border>
      <left/>
      <right style="thick">
        <color theme="3"/>
      </right>
      <top/>
      <bottom/>
      <diagonal/>
    </border>
    <border>
      <left style="thick">
        <color theme="3"/>
      </left>
      <right/>
      <top style="thick">
        <color theme="3"/>
      </top>
      <bottom/>
      <diagonal/>
    </border>
    <border>
      <left/>
      <right/>
      <top style="thick">
        <color theme="3"/>
      </top>
      <bottom/>
      <diagonal/>
    </border>
    <border>
      <left/>
      <right style="thick">
        <color theme="0"/>
      </right>
      <top style="thick">
        <color theme="3"/>
      </top>
      <bottom/>
      <diagonal/>
    </border>
    <border>
      <left style="thick">
        <color theme="0"/>
      </left>
      <right/>
      <top style="thick">
        <color theme="3"/>
      </top>
      <bottom/>
      <diagonal/>
    </border>
    <border>
      <left/>
      <right style="thick">
        <color theme="3"/>
      </right>
      <top style="thick">
        <color theme="3"/>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style="thick">
        <color theme="3"/>
      </right>
      <top style="thick">
        <color theme="3"/>
      </top>
      <bottom style="thick">
        <color theme="3"/>
      </bottom>
      <diagonal/>
    </border>
    <border>
      <left style="double">
        <color rgb="FF3F3F3F"/>
      </left>
      <right style="double">
        <color rgb="FF3F3F3F"/>
      </right>
      <top style="double">
        <color rgb="FF3F3F3F"/>
      </top>
      <bottom style="double">
        <color rgb="FF3F3F3F"/>
      </bottom>
      <diagonal/>
    </border>
    <border>
      <left style="medium">
        <color indexed="64"/>
      </left>
      <right/>
      <top/>
      <bottom/>
      <diagonal/>
    </border>
  </borders>
  <cellStyleXfs count="9">
    <xf numFmtId="0" fontId="0" fillId="0" borderId="0"/>
    <xf numFmtId="166" fontId="6" fillId="0" borderId="0" applyFont="0" applyFill="0" applyBorder="0" applyAlignment="0" applyProtection="0"/>
    <xf numFmtId="9" fontId="6" fillId="0" borderId="0" applyFont="0" applyFill="0" applyBorder="0" applyAlignment="0" applyProtection="0"/>
    <xf numFmtId="0" fontId="28" fillId="0" borderId="0" applyNumberFormat="0" applyFill="0" applyBorder="0" applyAlignment="0" applyProtection="0"/>
    <xf numFmtId="0" fontId="45" fillId="16" borderId="0" applyNumberFormat="0" applyBorder="0" applyAlignment="0" applyProtection="0"/>
    <xf numFmtId="0" fontId="23" fillId="17" borderId="39" applyNumberFormat="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cellStyleXfs>
  <cellXfs count="1254">
    <xf numFmtId="0" fontId="0" fillId="0" borderId="0" xfId="0"/>
    <xf numFmtId="0" fontId="1" fillId="0" borderId="0" xfId="0" applyFont="1" applyAlignment="1">
      <alignment vertical="center"/>
    </xf>
    <xf numFmtId="166" fontId="0" fillId="0" borderId="0" xfId="1" applyFont="1"/>
    <xf numFmtId="0" fontId="0" fillId="0" borderId="0" xfId="0" applyBorder="1"/>
    <xf numFmtId="0" fontId="0" fillId="0" borderId="3" xfId="0" applyBorder="1"/>
    <xf numFmtId="0" fontId="0" fillId="0" borderId="0" xfId="0" applyBorder="1" applyAlignment="1">
      <alignment vertical="center"/>
    </xf>
    <xf numFmtId="0" fontId="0" fillId="0" borderId="3" xfId="0" applyBorder="1" applyAlignment="1">
      <alignment horizontal="center" vertical="center"/>
    </xf>
    <xf numFmtId="0" fontId="1" fillId="0" borderId="0" xfId="0" applyFont="1" applyBorder="1" applyAlignment="1">
      <alignment vertical="center"/>
    </xf>
    <xf numFmtId="166" fontId="0" fillId="0" borderId="3" xfId="1" applyFont="1" applyBorder="1" applyAlignment="1">
      <alignment vertical="center"/>
    </xf>
    <xf numFmtId="0" fontId="1" fillId="0" borderId="0" xfId="0" applyFont="1" applyBorder="1"/>
    <xf numFmtId="0" fontId="1" fillId="0" borderId="0" xfId="0" applyFont="1"/>
    <xf numFmtId="166" fontId="0" fillId="2" borderId="3" xfId="1" applyFont="1" applyFill="1" applyBorder="1" applyAlignment="1">
      <alignment vertical="center"/>
    </xf>
    <xf numFmtId="168" fontId="0" fillId="2" borderId="3" xfId="1" applyNumberFormat="1" applyFont="1" applyFill="1" applyBorder="1" applyAlignment="1">
      <alignment vertical="center"/>
    </xf>
    <xf numFmtId="0" fontId="1" fillId="0" borderId="3" xfId="0" applyFont="1" applyBorder="1"/>
    <xf numFmtId="0" fontId="0" fillId="0" borderId="3" xfId="0" applyFont="1" applyBorder="1"/>
    <xf numFmtId="0" fontId="1" fillId="0" borderId="3" xfId="0" applyFont="1" applyBorder="1" applyAlignment="1">
      <alignment horizontal="center"/>
    </xf>
    <xf numFmtId="166" fontId="1" fillId="0" borderId="3" xfId="1" applyFont="1" applyBorder="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xf numFmtId="0" fontId="3" fillId="2" borderId="0" xfId="0" applyFont="1" applyFill="1" applyAlignment="1">
      <alignment horizontal="center"/>
    </xf>
    <xf numFmtId="0" fontId="4" fillId="2" borderId="0" xfId="0" applyFont="1" applyFill="1" applyAlignment="1">
      <alignment horizontal="left"/>
    </xf>
    <xf numFmtId="9" fontId="0" fillId="2" borderId="0" xfId="2" applyFont="1" applyFill="1"/>
    <xf numFmtId="0" fontId="0" fillId="2" borderId="0" xfId="0" applyFill="1"/>
    <xf numFmtId="166" fontId="0" fillId="2" borderId="0" xfId="1" applyFont="1" applyFill="1"/>
    <xf numFmtId="0" fontId="1" fillId="2" borderId="0" xfId="0" applyFont="1" applyFill="1"/>
    <xf numFmtId="9" fontId="0" fillId="0" borderId="0" xfId="0" applyNumberFormat="1"/>
    <xf numFmtId="0" fontId="0" fillId="5" borderId="0" xfId="0" applyFill="1"/>
    <xf numFmtId="166" fontId="0" fillId="5" borderId="0" xfId="1" applyFont="1" applyFill="1"/>
    <xf numFmtId="166" fontId="0" fillId="0" borderId="0" xfId="0" applyNumberFormat="1"/>
    <xf numFmtId="9" fontId="0" fillId="5" borderId="0" xfId="0" applyNumberFormat="1" applyFill="1"/>
    <xf numFmtId="166" fontId="0" fillId="5" borderId="0" xfId="0" applyNumberFormat="1" applyFill="1"/>
    <xf numFmtId="166" fontId="1" fillId="0" borderId="0" xfId="0" applyNumberFormat="1" applyFont="1"/>
    <xf numFmtId="0" fontId="0" fillId="0" borderId="0" xfId="0" applyAlignment="1">
      <alignment horizontal="left" indent="2"/>
    </xf>
    <xf numFmtId="0" fontId="0" fillId="0" borderId="0" xfId="0" applyFont="1"/>
    <xf numFmtId="0" fontId="0" fillId="0" borderId="0" xfId="0" applyFont="1" applyAlignment="1">
      <alignment horizontal="left" indent="1"/>
    </xf>
    <xf numFmtId="166" fontId="0" fillId="5" borderId="0" xfId="0" applyNumberFormat="1" applyFont="1" applyFill="1"/>
    <xf numFmtId="0" fontId="0" fillId="5" borderId="0" xfId="0" applyFont="1" applyFill="1"/>
    <xf numFmtId="166" fontId="0" fillId="0" borderId="0" xfId="1" applyFont="1" applyFill="1"/>
    <xf numFmtId="9" fontId="0" fillId="0" borderId="0" xfId="2" applyFont="1" applyFill="1"/>
    <xf numFmtId="0" fontId="1" fillId="5" borderId="0" xfId="0" applyFont="1" applyFill="1" applyAlignment="1"/>
    <xf numFmtId="169" fontId="0" fillId="0" borderId="0" xfId="0" applyNumberFormat="1"/>
    <xf numFmtId="9" fontId="0" fillId="5" borderId="0" xfId="2" applyFont="1" applyFill="1"/>
    <xf numFmtId="10" fontId="0" fillId="5" borderId="0" xfId="2" applyNumberFormat="1" applyFont="1" applyFill="1"/>
    <xf numFmtId="0" fontId="17" fillId="0" borderId="0" xfId="0" applyFont="1"/>
    <xf numFmtId="0" fontId="8" fillId="0" borderId="0" xfId="0" applyFont="1" applyBorder="1" applyAlignment="1">
      <alignment horizontal="center"/>
    </xf>
    <xf numFmtId="0" fontId="1" fillId="0" borderId="0" xfId="0" applyFont="1" applyAlignment="1"/>
    <xf numFmtId="166" fontId="0" fillId="5" borderId="3" xfId="1" applyFont="1" applyFill="1" applyBorder="1" applyAlignment="1">
      <alignment vertical="center" wrapText="1"/>
    </xf>
    <xf numFmtId="166" fontId="0" fillId="5" borderId="3" xfId="1" applyFont="1" applyFill="1" applyBorder="1" applyAlignment="1">
      <alignment vertical="center"/>
    </xf>
    <xf numFmtId="166" fontId="0" fillId="0" borderId="3" xfId="1"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left" indent="1"/>
    </xf>
    <xf numFmtId="166" fontId="0" fillId="0" borderId="3" xfId="1" applyFont="1" applyBorder="1"/>
    <xf numFmtId="0" fontId="26" fillId="3" borderId="0" xfId="0" applyFont="1" applyFill="1"/>
    <xf numFmtId="0" fontId="18" fillId="3" borderId="0" xfId="0" applyFont="1" applyFill="1" applyAlignment="1"/>
    <xf numFmtId="166" fontId="0" fillId="5" borderId="0" xfId="1" applyFont="1" applyFill="1" applyAlignment="1">
      <alignment horizontal="left" indent="1"/>
    </xf>
    <xf numFmtId="9" fontId="0" fillId="0" borderId="0" xfId="1" applyNumberFormat="1" applyFont="1"/>
    <xf numFmtId="9" fontId="0" fillId="5" borderId="0" xfId="1" applyNumberFormat="1" applyFont="1" applyFill="1"/>
    <xf numFmtId="0" fontId="0" fillId="0" borderId="0" xfId="0" applyBorder="1" applyAlignment="1"/>
    <xf numFmtId="166" fontId="0" fillId="5" borderId="0" xfId="1" applyFont="1" applyFill="1" applyBorder="1"/>
    <xf numFmtId="166" fontId="0" fillId="0" borderId="0" xfId="1" applyFont="1" applyBorder="1"/>
    <xf numFmtId="166" fontId="1" fillId="0" borderId="0" xfId="1" applyFont="1" applyFill="1" applyBorder="1"/>
    <xf numFmtId="166" fontId="1" fillId="0" borderId="0" xfId="1" applyFont="1"/>
    <xf numFmtId="166" fontId="1" fillId="5" borderId="0" xfId="1" applyFont="1" applyFill="1" applyBorder="1"/>
    <xf numFmtId="0" fontId="27" fillId="0" borderId="0" xfId="0" applyFont="1" applyAlignment="1">
      <alignment horizontal="center" vertical="center" wrapText="1"/>
    </xf>
    <xf numFmtId="166" fontId="0" fillId="8" borderId="0" xfId="0" applyNumberFormat="1" applyFill="1"/>
    <xf numFmtId="0" fontId="1" fillId="0" borderId="0" xfId="0" applyFont="1" applyAlignment="1">
      <alignment horizontal="center"/>
    </xf>
    <xf numFmtId="166" fontId="0" fillId="0" borderId="0" xfId="0" applyNumberFormat="1" applyFont="1"/>
    <xf numFmtId="1" fontId="0" fillId="0" borderId="3" xfId="0" applyNumberFormat="1" applyBorder="1"/>
    <xf numFmtId="0" fontId="1" fillId="5" borderId="0" xfId="0" applyFont="1" applyFill="1"/>
    <xf numFmtId="0" fontId="0" fillId="0" borderId="0" xfId="0" applyFont="1" applyBorder="1" applyAlignment="1">
      <alignment horizontal="left" vertical="center" indent="2"/>
    </xf>
    <xf numFmtId="0" fontId="0" fillId="0" borderId="2" xfId="0" applyFont="1" applyBorder="1" applyAlignment="1">
      <alignment horizontal="left" vertical="center" indent="2"/>
    </xf>
    <xf numFmtId="166" fontId="0" fillId="5" borderId="2" xfId="0" applyNumberFormat="1" applyFill="1" applyBorder="1" applyAlignment="1">
      <alignment horizontal="center"/>
    </xf>
    <xf numFmtId="0" fontId="0" fillId="0" borderId="0" xfId="0" applyFill="1"/>
    <xf numFmtId="0" fontId="23" fillId="3" borderId="3" xfId="0" applyFont="1" applyFill="1" applyBorder="1"/>
    <xf numFmtId="1" fontId="0" fillId="0" borderId="0" xfId="0" applyNumberFormat="1"/>
    <xf numFmtId="0" fontId="0" fillId="0" borderId="0" xfId="0" applyAlignment="1">
      <alignment horizontal="left" wrapText="1" indent="1"/>
    </xf>
    <xf numFmtId="0" fontId="0" fillId="0" borderId="0" xfId="0" applyAlignment="1">
      <alignment wrapText="1"/>
    </xf>
    <xf numFmtId="0" fontId="29" fillId="3" borderId="0" xfId="0" applyFont="1" applyFill="1"/>
    <xf numFmtId="166" fontId="0" fillId="5" borderId="0" xfId="0" applyNumberFormat="1" applyFill="1" applyAlignment="1">
      <alignment wrapText="1"/>
    </xf>
    <xf numFmtId="166" fontId="1" fillId="5" borderId="0" xfId="0" applyNumberFormat="1" applyFont="1" applyFill="1"/>
    <xf numFmtId="0" fontId="30" fillId="0" borderId="0" xfId="0" applyFont="1"/>
    <xf numFmtId="166" fontId="30" fillId="0" borderId="0" xfId="0" applyNumberFormat="1" applyFont="1"/>
    <xf numFmtId="0" fontId="19" fillId="0" borderId="0" xfId="0" applyFont="1"/>
    <xf numFmtId="0" fontId="0" fillId="10" borderId="0" xfId="0" applyFill="1"/>
    <xf numFmtId="166" fontId="0" fillId="10" borderId="0" xfId="0" applyNumberFormat="1" applyFill="1"/>
    <xf numFmtId="166" fontId="0" fillId="10" borderId="0" xfId="1" applyFont="1" applyFill="1"/>
    <xf numFmtId="166" fontId="6" fillId="0" borderId="0" xfId="1" applyFont="1"/>
    <xf numFmtId="170" fontId="0" fillId="0" borderId="0" xfId="1" applyNumberFormat="1" applyFont="1" applyAlignment="1">
      <alignment wrapText="1"/>
    </xf>
    <xf numFmtId="170" fontId="0" fillId="0" borderId="0" xfId="1" applyNumberFormat="1" applyFont="1"/>
    <xf numFmtId="170" fontId="0" fillId="0" borderId="0" xfId="1" applyNumberFormat="1" applyFont="1" applyBorder="1" applyAlignment="1">
      <alignment wrapText="1"/>
    </xf>
    <xf numFmtId="170" fontId="0" fillId="0" borderId="0" xfId="1" applyNumberFormat="1" applyFont="1" applyBorder="1"/>
    <xf numFmtId="170" fontId="1" fillId="0" borderId="0" xfId="1" applyNumberFormat="1" applyFont="1" applyBorder="1" applyAlignment="1">
      <alignment wrapText="1"/>
    </xf>
    <xf numFmtId="170" fontId="0" fillId="0" borderId="12" xfId="1" applyNumberFormat="1" applyFont="1" applyBorder="1"/>
    <xf numFmtId="170" fontId="32" fillId="10" borderId="12" xfId="1" applyNumberFormat="1" applyFont="1" applyFill="1" applyBorder="1" applyAlignment="1">
      <alignment horizontal="center"/>
    </xf>
    <xf numFmtId="167" fontId="0" fillId="0" borderId="0" xfId="1" applyNumberFormat="1" applyFont="1"/>
    <xf numFmtId="170" fontId="31" fillId="3" borderId="11" xfId="1" applyNumberFormat="1" applyFont="1" applyFill="1" applyBorder="1" applyAlignment="1">
      <alignment wrapText="1"/>
    </xf>
    <xf numFmtId="170" fontId="31" fillId="3" borderId="2" xfId="1" applyNumberFormat="1" applyFont="1" applyFill="1" applyBorder="1" applyAlignment="1">
      <alignment wrapText="1"/>
    </xf>
    <xf numFmtId="170" fontId="31" fillId="3" borderId="12" xfId="1" applyNumberFormat="1" applyFont="1" applyFill="1" applyBorder="1" applyAlignment="1">
      <alignment wrapText="1"/>
    </xf>
    <xf numFmtId="14" fontId="0" fillId="0" borderId="3" xfId="1" applyNumberFormat="1" applyFont="1" applyBorder="1"/>
    <xf numFmtId="170" fontId="0" fillId="0" borderId="0" xfId="1" applyNumberFormat="1" applyFont="1" applyBorder="1" applyAlignment="1"/>
    <xf numFmtId="170" fontId="1" fillId="0" borderId="0" xfId="1" applyNumberFormat="1" applyFont="1" applyBorder="1" applyAlignment="1">
      <alignment horizontal="right" wrapText="1"/>
    </xf>
    <xf numFmtId="170" fontId="0" fillId="0" borderId="3" xfId="1" applyNumberFormat="1" applyFont="1" applyBorder="1"/>
    <xf numFmtId="170" fontId="0" fillId="0" borderId="0" xfId="1" applyNumberFormat="1" applyFont="1" applyAlignment="1">
      <alignment vertical="center" wrapText="1"/>
    </xf>
    <xf numFmtId="170" fontId="0" fillId="0" borderId="0" xfId="1" applyNumberFormat="1" applyFont="1" applyAlignment="1">
      <alignment vertical="center"/>
    </xf>
    <xf numFmtId="167" fontId="0" fillId="0" borderId="3" xfId="1" applyNumberFormat="1" applyFont="1" applyBorder="1"/>
    <xf numFmtId="170" fontId="0" fillId="0" borderId="0" xfId="1" applyNumberFormat="1" applyFont="1" applyAlignment="1">
      <alignment horizontal="left" wrapText="1"/>
    </xf>
    <xf numFmtId="167" fontId="0" fillId="0" borderId="0" xfId="1" applyNumberFormat="1" applyFont="1" applyAlignment="1">
      <alignment vertical="center"/>
    </xf>
    <xf numFmtId="170" fontId="0" fillId="0" borderId="0" xfId="1" applyNumberFormat="1" applyFont="1" applyFill="1" applyBorder="1" applyAlignment="1">
      <alignment wrapText="1"/>
    </xf>
    <xf numFmtId="170" fontId="23" fillId="0" borderId="0" xfId="1" applyNumberFormat="1" applyFont="1" applyFill="1" applyBorder="1" applyAlignment="1">
      <alignment wrapText="1"/>
    </xf>
    <xf numFmtId="170" fontId="23" fillId="0" borderId="0" xfId="1" applyNumberFormat="1" applyFont="1" applyFill="1" applyBorder="1"/>
    <xf numFmtId="170" fontId="0" fillId="0" borderId="0" xfId="1" applyNumberFormat="1" applyFont="1" applyFill="1" applyBorder="1" applyAlignment="1"/>
    <xf numFmtId="170" fontId="18" fillId="0" borderId="0" xfId="1" applyNumberFormat="1" applyFont="1" applyFill="1" applyBorder="1" applyAlignment="1">
      <alignment horizontal="center"/>
    </xf>
    <xf numFmtId="170" fontId="0" fillId="0" borderId="0" xfId="1" applyNumberFormat="1" applyFont="1" applyFill="1" applyBorder="1"/>
    <xf numFmtId="170" fontId="32" fillId="10" borderId="3" xfId="1" applyNumberFormat="1" applyFont="1" applyFill="1" applyBorder="1" applyAlignment="1">
      <alignment horizontal="center"/>
    </xf>
    <xf numFmtId="170" fontId="23" fillId="3" borderId="6" xfId="1" applyNumberFormat="1" applyFont="1" applyFill="1" applyBorder="1" applyAlignment="1">
      <alignment wrapText="1"/>
    </xf>
    <xf numFmtId="170" fontId="31" fillId="3" borderId="11" xfId="1" applyNumberFormat="1" applyFont="1" applyFill="1" applyBorder="1" applyAlignment="1"/>
    <xf numFmtId="170" fontId="31" fillId="3" borderId="0" xfId="1" applyNumberFormat="1" applyFont="1" applyFill="1" applyBorder="1" applyAlignment="1"/>
    <xf numFmtId="170" fontId="0" fillId="0" borderId="11" xfId="1" applyNumberFormat="1" applyFont="1" applyBorder="1" applyAlignment="1"/>
    <xf numFmtId="170" fontId="23" fillId="3" borderId="4" xfId="1" applyNumberFormat="1" applyFont="1" applyFill="1" applyBorder="1" applyAlignment="1"/>
    <xf numFmtId="0" fontId="19" fillId="0" borderId="3" xfId="0" applyFont="1" applyBorder="1" applyAlignment="1">
      <alignment horizontal="center" wrapText="1"/>
    </xf>
    <xf numFmtId="0" fontId="19" fillId="0" borderId="3" xfId="0" applyFont="1" applyBorder="1" applyAlignment="1">
      <alignment horizontal="center"/>
    </xf>
    <xf numFmtId="0" fontId="17" fillId="0" borderId="0" xfId="0" applyFont="1" applyAlignment="1">
      <alignment horizontal="left" wrapText="1"/>
    </xf>
    <xf numFmtId="0" fontId="17" fillId="0" borderId="0" xfId="0" applyFont="1" applyAlignment="1">
      <alignment horizontal="left" wrapText="1"/>
    </xf>
    <xf numFmtId="0" fontId="17" fillId="0" borderId="0" xfId="0" applyFont="1" applyAlignment="1">
      <alignment horizontal="left" wrapText="1"/>
    </xf>
    <xf numFmtId="0" fontId="0" fillId="0" borderId="0" xfId="0" applyFont="1" applyAlignment="1">
      <alignment horizontal="left" vertical="center" indent="8"/>
    </xf>
    <xf numFmtId="0" fontId="0" fillId="0" borderId="0" xfId="0" applyFont="1" applyAlignment="1">
      <alignment horizontal="left" vertical="center" indent="5"/>
    </xf>
    <xf numFmtId="170" fontId="18" fillId="0" borderId="0" xfId="1" applyNumberFormat="1" applyFont="1" applyFill="1" applyBorder="1" applyAlignment="1"/>
    <xf numFmtId="170" fontId="23" fillId="0" borderId="0" xfId="1" applyNumberFormat="1" applyFont="1" applyFill="1" applyBorder="1" applyAlignment="1"/>
    <xf numFmtId="170" fontId="1" fillId="0" borderId="0" xfId="1" applyNumberFormat="1" applyFont="1"/>
    <xf numFmtId="0" fontId="1" fillId="0" borderId="0" xfId="0" applyFont="1" applyBorder="1" applyAlignment="1">
      <alignment vertical="center"/>
    </xf>
    <xf numFmtId="0" fontId="0" fillId="0" borderId="0" xfId="0" applyFont="1" applyBorder="1" applyAlignment="1">
      <alignment vertical="center"/>
    </xf>
    <xf numFmtId="0" fontId="0" fillId="0" borderId="0" xfId="0" applyFont="1" applyFill="1" applyAlignment="1">
      <alignment vertical="center"/>
    </xf>
    <xf numFmtId="0" fontId="0" fillId="0" borderId="0" xfId="0" applyFont="1" applyBorder="1" applyAlignment="1">
      <alignment vertical="center" wrapText="1"/>
    </xf>
    <xf numFmtId="9" fontId="0" fillId="0" borderId="0" xfId="2" applyFont="1"/>
    <xf numFmtId="0" fontId="0" fillId="0" borderId="0" xfId="0" applyAlignment="1">
      <alignment horizontal="center"/>
    </xf>
    <xf numFmtId="166" fontId="0" fillId="5" borderId="11" xfId="1" applyFont="1" applyFill="1" applyBorder="1" applyAlignment="1">
      <alignment vertical="center" wrapText="1"/>
    </xf>
    <xf numFmtId="166" fontId="0" fillId="0" borderId="11" xfId="1" applyFont="1" applyBorder="1" applyAlignment="1">
      <alignment vertical="center" wrapText="1"/>
    </xf>
    <xf numFmtId="0" fontId="1" fillId="0" borderId="1" xfId="0" applyFont="1" applyBorder="1" applyAlignment="1">
      <alignment vertical="center" wrapText="1"/>
    </xf>
    <xf numFmtId="0" fontId="1" fillId="0" borderId="0" xfId="0" applyFont="1" applyAlignment="1">
      <alignment vertical="center" wrapText="1"/>
    </xf>
    <xf numFmtId="0" fontId="0"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center" vertical="center" wrapText="1"/>
    </xf>
    <xf numFmtId="170" fontId="1" fillId="12" borderId="11" xfId="1" applyNumberFormat="1" applyFont="1" applyFill="1" applyBorder="1" applyAlignment="1">
      <alignment horizontal="center" vertical="center"/>
    </xf>
    <xf numFmtId="0" fontId="1" fillId="0" borderId="0" xfId="0" applyFont="1" applyAlignment="1">
      <alignment horizontal="center" vertical="center"/>
    </xf>
    <xf numFmtId="0" fontId="0" fillId="0" borderId="0" xfId="0" applyFont="1" applyBorder="1" applyAlignment="1">
      <alignment horizontal="center" vertical="center"/>
    </xf>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167" fontId="0" fillId="0" borderId="0" xfId="0" applyNumberFormat="1"/>
    <xf numFmtId="0" fontId="38" fillId="0" borderId="0" xfId="0" applyFont="1" applyAlignment="1">
      <alignment horizontal="left" indent="1"/>
    </xf>
    <xf numFmtId="167" fontId="38" fillId="0" borderId="0" xfId="0" applyNumberFormat="1" applyFont="1"/>
    <xf numFmtId="0" fontId="38" fillId="0" borderId="0" xfId="0" applyFont="1"/>
    <xf numFmtId="1" fontId="38" fillId="0" borderId="0" xfId="0" applyNumberFormat="1" applyFont="1"/>
    <xf numFmtId="167" fontId="0" fillId="0" borderId="0" xfId="0" applyNumberFormat="1" applyAlignment="1">
      <alignment horizontal="left" indent="1"/>
    </xf>
    <xf numFmtId="0" fontId="32" fillId="0" borderId="0" xfId="0" applyFont="1"/>
    <xf numFmtId="167" fontId="39" fillId="0" borderId="0" xfId="1" applyNumberFormat="1" applyFont="1"/>
    <xf numFmtId="167" fontId="16" fillId="0" borderId="0" xfId="1" applyNumberFormat="1" applyFont="1"/>
    <xf numFmtId="170" fontId="23" fillId="0" borderId="0" xfId="1" applyNumberFormat="1" applyFont="1" applyFill="1" applyBorder="1" applyAlignment="1">
      <alignment horizontal="center"/>
    </xf>
    <xf numFmtId="170" fontId="0" fillId="0" borderId="0" xfId="1" applyNumberFormat="1" applyFont="1" applyFill="1" applyBorder="1" applyAlignment="1">
      <alignment horizontal="center"/>
    </xf>
    <xf numFmtId="0" fontId="0" fillId="0" borderId="0" xfId="0" applyFill="1" applyBorder="1"/>
    <xf numFmtId="166" fontId="0" fillId="0" borderId="0" xfId="0" applyNumberFormat="1" applyFill="1" applyBorder="1"/>
    <xf numFmtId="166" fontId="0" fillId="0" borderId="0" xfId="1" applyFont="1" applyFill="1" applyBorder="1"/>
    <xf numFmtId="170" fontId="18" fillId="0" borderId="0" xfId="1" applyNumberFormat="1" applyFont="1" applyFill="1" applyBorder="1" applyAlignment="1">
      <alignment horizontal="center" wrapText="1"/>
    </xf>
    <xf numFmtId="170" fontId="1" fillId="0" borderId="0" xfId="1" applyNumberFormat="1" applyFont="1" applyFill="1" applyBorder="1" applyAlignment="1">
      <alignment wrapText="1"/>
    </xf>
    <xf numFmtId="0" fontId="1" fillId="0" borderId="0" xfId="0" applyFont="1" applyFill="1" applyBorder="1"/>
    <xf numFmtId="166" fontId="1" fillId="0" borderId="0" xfId="0" applyNumberFormat="1" applyFont="1" applyFill="1" applyBorder="1"/>
    <xf numFmtId="0" fontId="0" fillId="0" borderId="0" xfId="0" applyFill="1" applyBorder="1" applyAlignment="1">
      <alignment wrapText="1"/>
    </xf>
    <xf numFmtId="167" fontId="1" fillId="0" borderId="0" xfId="1" applyNumberFormat="1" applyFont="1"/>
    <xf numFmtId="167" fontId="0" fillId="10" borderId="0" xfId="0" applyNumberFormat="1" applyFill="1"/>
    <xf numFmtId="167" fontId="0" fillId="10" borderId="0" xfId="1" applyNumberFormat="1" applyFont="1" applyFill="1"/>
    <xf numFmtId="11" fontId="0" fillId="0" borderId="0" xfId="0" applyNumberFormat="1"/>
    <xf numFmtId="170" fontId="1" fillId="0" borderId="9" xfId="1" applyNumberFormat="1" applyFont="1" applyBorder="1" applyAlignment="1"/>
    <xf numFmtId="170" fontId="1" fillId="0" borderId="10" xfId="1" applyNumberFormat="1" applyFont="1" applyBorder="1"/>
    <xf numFmtId="170" fontId="1" fillId="0" borderId="0" xfId="1" applyNumberFormat="1" applyFont="1" applyAlignment="1">
      <alignment wrapText="1"/>
    </xf>
    <xf numFmtId="170" fontId="1" fillId="0" borderId="3" xfId="1" applyNumberFormat="1" applyFont="1" applyBorder="1"/>
    <xf numFmtId="170" fontId="38" fillId="0" borderId="11" xfId="1" applyNumberFormat="1" applyFont="1" applyBorder="1" applyAlignment="1">
      <alignment horizontal="left" indent="1"/>
    </xf>
    <xf numFmtId="170" fontId="40" fillId="0" borderId="11" xfId="1" applyNumberFormat="1" applyFont="1" applyBorder="1" applyAlignment="1"/>
    <xf numFmtId="170" fontId="39" fillId="0" borderId="0" xfId="1" applyNumberFormat="1" applyFont="1"/>
    <xf numFmtId="170" fontId="1" fillId="0" borderId="14" xfId="1" applyNumberFormat="1" applyFont="1" applyBorder="1"/>
    <xf numFmtId="170" fontId="1" fillId="12" borderId="3" xfId="1" applyNumberFormat="1" applyFont="1" applyFill="1" applyBorder="1" applyAlignment="1">
      <alignment vertical="center" wrapText="1"/>
    </xf>
    <xf numFmtId="170" fontId="1" fillId="12" borderId="12" xfId="1" applyNumberFormat="1" applyFont="1" applyFill="1" applyBorder="1" applyAlignment="1">
      <alignment wrapText="1"/>
    </xf>
    <xf numFmtId="170" fontId="35" fillId="3" borderId="0" xfId="1" applyNumberFormat="1" applyFont="1" applyFill="1" applyBorder="1" applyAlignment="1">
      <alignment wrapText="1"/>
    </xf>
    <xf numFmtId="170" fontId="35" fillId="3" borderId="8" xfId="1" applyNumberFormat="1" applyFont="1" applyFill="1" applyBorder="1" applyAlignment="1">
      <alignment wrapText="1"/>
    </xf>
    <xf numFmtId="170" fontId="35" fillId="0" borderId="5" xfId="1" applyNumberFormat="1" applyFont="1" applyFill="1" applyBorder="1" applyAlignment="1">
      <alignment horizontal="center" wrapText="1"/>
    </xf>
    <xf numFmtId="170" fontId="35" fillId="0" borderId="0" xfId="1" applyNumberFormat="1" applyFont="1" applyFill="1" applyBorder="1" applyAlignment="1">
      <alignment horizontal="center"/>
    </xf>
    <xf numFmtId="170" fontId="35" fillId="0" borderId="0" xfId="1" applyNumberFormat="1" applyFont="1" applyFill="1" applyBorder="1" applyAlignment="1"/>
    <xf numFmtId="170" fontId="36" fillId="0" borderId="0" xfId="1" applyNumberFormat="1" applyFont="1"/>
    <xf numFmtId="170" fontId="1" fillId="0" borderId="4" xfId="1" applyNumberFormat="1" applyFont="1" applyBorder="1" applyAlignment="1"/>
    <xf numFmtId="170" fontId="1" fillId="0" borderId="6" xfId="1" applyNumberFormat="1" applyFont="1" applyBorder="1" applyAlignment="1">
      <alignment wrapText="1"/>
    </xf>
    <xf numFmtId="170" fontId="1" fillId="0" borderId="11" xfId="1" applyNumberFormat="1" applyFont="1" applyBorder="1" applyAlignment="1">
      <alignment wrapText="1"/>
    </xf>
    <xf numFmtId="170" fontId="1" fillId="0" borderId="12" xfId="1" applyNumberFormat="1" applyFont="1" applyBorder="1" applyAlignment="1">
      <alignment wrapText="1"/>
    </xf>
    <xf numFmtId="167" fontId="0" fillId="0" borderId="12" xfId="1" applyNumberFormat="1" applyFont="1" applyBorder="1"/>
    <xf numFmtId="171" fontId="0" fillId="0" borderId="0" xfId="1" applyNumberFormat="1" applyFont="1"/>
    <xf numFmtId="166" fontId="0" fillId="0" borderId="0" xfId="0" applyNumberFormat="1" applyFill="1"/>
    <xf numFmtId="167" fontId="1" fillId="0" borderId="0" xfId="0" applyNumberFormat="1" applyFont="1"/>
    <xf numFmtId="0" fontId="28" fillId="0" borderId="0" xfId="3"/>
    <xf numFmtId="0" fontId="13" fillId="0" borderId="0" xfId="0" applyFont="1"/>
    <xf numFmtId="170" fontId="1" fillId="0" borderId="11" xfId="1" applyNumberFormat="1" applyFont="1" applyBorder="1" applyAlignment="1"/>
    <xf numFmtId="170" fontId="1" fillId="0" borderId="12" xfId="1" applyNumberFormat="1" applyFont="1" applyBorder="1"/>
    <xf numFmtId="171" fontId="1" fillId="0" borderId="0" xfId="1" applyNumberFormat="1" applyFont="1"/>
    <xf numFmtId="0" fontId="27" fillId="0" borderId="11" xfId="0" applyFont="1" applyBorder="1" applyAlignment="1">
      <alignment horizontal="left"/>
    </xf>
    <xf numFmtId="0" fontId="27" fillId="0" borderId="12" xfId="0" applyFont="1" applyBorder="1" applyAlignment="1">
      <alignment horizontal="left"/>
    </xf>
    <xf numFmtId="170" fontId="0" fillId="0" borderId="11" xfId="1" applyNumberFormat="1" applyFont="1" applyBorder="1" applyAlignment="1">
      <alignment horizontal="left" indent="1"/>
    </xf>
    <xf numFmtId="0" fontId="1" fillId="0" borderId="0" xfId="0" applyFont="1" applyBorder="1" applyAlignment="1">
      <alignment horizontal="left" vertical="center"/>
    </xf>
    <xf numFmtId="0" fontId="0" fillId="0" borderId="0" xfId="0" applyFont="1" applyBorder="1" applyAlignment="1">
      <alignment wrapText="1"/>
    </xf>
    <xf numFmtId="0" fontId="1" fillId="0" borderId="0" xfId="0" applyFont="1" applyBorder="1" applyAlignment="1">
      <alignment horizontal="left" vertical="center" wrapText="1"/>
    </xf>
    <xf numFmtId="0" fontId="0" fillId="0" borderId="0" xfId="0" applyFont="1" applyBorder="1" applyAlignment="1"/>
    <xf numFmtId="0" fontId="0" fillId="0" borderId="0" xfId="0" applyFont="1" applyBorder="1" applyAlignment="1">
      <alignment horizontal="justify" vertical="center"/>
    </xf>
    <xf numFmtId="0" fontId="0" fillId="0" borderId="0" xfId="0" applyNumberFormat="1" applyFont="1" applyBorder="1" applyAlignment="1">
      <alignment vertical="center"/>
    </xf>
    <xf numFmtId="0" fontId="43" fillId="0" borderId="0" xfId="0" applyFont="1" applyBorder="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left" vertical="center"/>
    </xf>
    <xf numFmtId="0" fontId="44" fillId="0" borderId="0" xfId="0" applyFont="1" applyBorder="1" applyAlignment="1">
      <alignment horizontal="left" vertical="center"/>
    </xf>
    <xf numFmtId="0" fontId="0" fillId="0" borderId="0" xfId="0" applyFont="1" applyFill="1" applyBorder="1" applyAlignment="1"/>
    <xf numFmtId="0" fontId="1" fillId="0" borderId="0" xfId="0" applyFont="1" applyBorder="1" applyAlignment="1"/>
    <xf numFmtId="0" fontId="1" fillId="15" borderId="3" xfId="0" applyFont="1" applyFill="1" applyBorder="1"/>
    <xf numFmtId="172" fontId="0" fillId="0" borderId="3" xfId="0" applyNumberFormat="1" applyBorder="1"/>
    <xf numFmtId="0" fontId="1" fillId="0" borderId="0" xfId="0" applyFont="1" applyAlignment="1">
      <alignment horizontal="center"/>
    </xf>
    <xf numFmtId="0" fontId="0" fillId="5" borderId="14" xfId="0"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9" fontId="0" fillId="5" borderId="3" xfId="2" applyFont="1" applyFill="1" applyBorder="1" applyAlignment="1" applyProtection="1">
      <alignment vertical="center" wrapText="1"/>
      <protection locked="0"/>
    </xf>
    <xf numFmtId="0" fontId="0" fillId="5" borderId="13" xfId="0" applyFill="1" applyBorder="1" applyAlignment="1" applyProtection="1">
      <alignment vertical="center" wrapText="1"/>
      <protection locked="0"/>
    </xf>
    <xf numFmtId="0" fontId="0" fillId="5" borderId="3" xfId="0" applyFill="1" applyBorder="1" applyAlignment="1" applyProtection="1">
      <alignment horizontal="center" vertical="center" wrapText="1"/>
      <protection locked="0"/>
    </xf>
    <xf numFmtId="0" fontId="0" fillId="5" borderId="11" xfId="0" applyFill="1" applyBorder="1" applyAlignment="1" applyProtection="1">
      <alignment vertical="center" wrapText="1"/>
      <protection locked="0"/>
    </xf>
    <xf numFmtId="9" fontId="0" fillId="5" borderId="3" xfId="2" applyFont="1" applyFill="1" applyBorder="1" applyAlignment="1" applyProtection="1">
      <alignment horizontal="right" vertical="center" wrapText="1"/>
      <protection locked="0"/>
    </xf>
    <xf numFmtId="0" fontId="0" fillId="5" borderId="3" xfId="0" applyFill="1" applyBorder="1" applyAlignment="1" applyProtection="1">
      <alignment vertical="center"/>
      <protection locked="0"/>
    </xf>
    <xf numFmtId="167" fontId="0" fillId="5" borderId="3" xfId="1" applyNumberFormat="1" applyFont="1" applyFill="1" applyBorder="1" applyAlignment="1" applyProtection="1">
      <alignment vertical="center"/>
      <protection locked="0"/>
    </xf>
    <xf numFmtId="176" fontId="0" fillId="2" borderId="3" xfId="1" applyNumberFormat="1" applyFont="1" applyFill="1" applyBorder="1" applyAlignment="1" applyProtection="1">
      <alignment vertical="center" wrapText="1"/>
      <protection locked="0"/>
    </xf>
    <xf numFmtId="9" fontId="0" fillId="2" borderId="3" xfId="2" applyFont="1" applyFill="1" applyBorder="1" applyAlignment="1" applyProtection="1">
      <alignment vertical="center" wrapText="1"/>
      <protection locked="0"/>
    </xf>
    <xf numFmtId="0" fontId="1" fillId="6" borderId="2" xfId="0" applyFont="1" applyFill="1" applyBorder="1" applyAlignment="1" applyProtection="1">
      <alignment vertical="center"/>
      <protection locked="0"/>
    </xf>
    <xf numFmtId="0" fontId="0" fillId="5" borderId="0" xfId="0" applyFill="1" applyAlignment="1" applyProtection="1">
      <alignment vertical="center"/>
      <protection locked="0"/>
    </xf>
    <xf numFmtId="0" fontId="12" fillId="5" borderId="0" xfId="0" applyFont="1" applyFill="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20" fillId="5" borderId="0" xfId="0" applyFont="1" applyFill="1" applyAlignment="1" applyProtection="1">
      <alignment horizontal="center" vertical="center"/>
      <protection locked="0"/>
    </xf>
    <xf numFmtId="0" fontId="0" fillId="8" borderId="20" xfId="0" applyFill="1" applyBorder="1" applyAlignment="1" applyProtection="1">
      <alignment vertical="center"/>
      <protection locked="0"/>
    </xf>
    <xf numFmtId="0" fontId="0" fillId="0" borderId="21" xfId="0" applyBorder="1" applyAlignment="1" applyProtection="1">
      <alignment vertical="center"/>
      <protection locked="0"/>
    </xf>
    <xf numFmtId="0" fontId="0" fillId="0" borderId="22" xfId="0" applyBorder="1" applyAlignment="1" applyProtection="1">
      <alignment vertical="center"/>
      <protection locked="0"/>
    </xf>
    <xf numFmtId="0" fontId="0" fillId="0" borderId="0" xfId="0" applyAlignment="1" applyProtection="1">
      <alignment vertical="center"/>
      <protection locked="0"/>
    </xf>
    <xf numFmtId="0" fontId="0" fillId="8" borderId="23" xfId="0" applyFill="1" applyBorder="1" applyAlignment="1" applyProtection="1">
      <alignment vertical="center"/>
      <protection locked="0"/>
    </xf>
    <xf numFmtId="0" fontId="0" fillId="0" borderId="24" xfId="0" applyBorder="1" applyAlignment="1" applyProtection="1">
      <alignment vertical="center"/>
      <protection locked="0"/>
    </xf>
    <xf numFmtId="0" fontId="0" fillId="0" borderId="0" xfId="0" applyBorder="1" applyAlignment="1" applyProtection="1">
      <alignment vertical="center"/>
      <protection locked="0"/>
    </xf>
    <xf numFmtId="0" fontId="14" fillId="0" borderId="0" xfId="0" applyFont="1" applyBorder="1" applyAlignment="1" applyProtection="1">
      <alignment horizontal="center" vertical="center"/>
      <protection locked="0"/>
    </xf>
    <xf numFmtId="0" fontId="0" fillId="0" borderId="4" xfId="0"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6" xfId="0" applyFill="1" applyBorder="1" applyAlignment="1" applyProtection="1">
      <alignment vertical="center"/>
      <protection locked="0"/>
    </xf>
    <xf numFmtId="0" fontId="0" fillId="0" borderId="7"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8" xfId="0" applyFill="1" applyBorder="1" applyAlignment="1" applyProtection="1">
      <alignment vertical="center"/>
      <protection locked="0"/>
    </xf>
    <xf numFmtId="0" fontId="28" fillId="0" borderId="0" xfId="3"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16" fillId="0" borderId="4" xfId="0" applyFont="1" applyFill="1" applyBorder="1" applyAlignment="1" applyProtection="1">
      <alignment vertical="center"/>
      <protection locked="0"/>
    </xf>
    <xf numFmtId="0" fontId="16" fillId="0" borderId="5" xfId="0" applyFont="1" applyFill="1" applyBorder="1" applyAlignment="1" applyProtection="1">
      <alignment vertical="center"/>
      <protection locked="0"/>
    </xf>
    <xf numFmtId="0" fontId="16" fillId="0" borderId="6" xfId="0" applyFont="1" applyFill="1" applyBorder="1" applyAlignment="1" applyProtection="1">
      <alignment vertical="center"/>
      <protection locked="0"/>
    </xf>
    <xf numFmtId="0" fontId="16" fillId="0" borderId="7"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16" fillId="0" borderId="8" xfId="0" applyFont="1" applyFill="1" applyBorder="1" applyAlignment="1" applyProtection="1">
      <alignment vertical="center"/>
      <protection locked="0"/>
    </xf>
    <xf numFmtId="0" fontId="1" fillId="0" borderId="0" xfId="0" applyFont="1" applyFill="1" applyBorder="1" applyAlignment="1" applyProtection="1">
      <alignment horizontal="center" vertical="center" wrapText="1"/>
      <protection locked="0"/>
    </xf>
    <xf numFmtId="0" fontId="0" fillId="0" borderId="8" xfId="0" applyFill="1" applyBorder="1" applyAlignment="1" applyProtection="1">
      <alignment horizontal="center" vertical="center"/>
      <protection locked="0"/>
    </xf>
    <xf numFmtId="0" fontId="21" fillId="0" borderId="0" xfId="0" applyFont="1" applyFill="1" applyBorder="1" applyAlignment="1" applyProtection="1">
      <alignment horizontal="center" vertical="center" wrapText="1"/>
      <protection locked="0"/>
    </xf>
    <xf numFmtId="0" fontId="16" fillId="0" borderId="15" xfId="0" applyFont="1" applyFill="1" applyBorder="1" applyAlignment="1" applyProtection="1">
      <alignment vertical="center"/>
      <protection locked="0"/>
    </xf>
    <xf numFmtId="0" fontId="0" fillId="5" borderId="0" xfId="0" applyFill="1" applyAlignment="1" applyProtection="1">
      <alignment vertical="center" wrapText="1"/>
      <protection locked="0"/>
    </xf>
    <xf numFmtId="0" fontId="0" fillId="8" borderId="23" xfId="0" applyFill="1" applyBorder="1" applyAlignment="1" applyProtection="1">
      <alignment vertical="center" wrapText="1"/>
      <protection locked="0"/>
    </xf>
    <xf numFmtId="0" fontId="0" fillId="0" borderId="7" xfId="0"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8" xfId="0" applyFill="1" applyBorder="1" applyAlignment="1" applyProtection="1">
      <alignment vertical="center" wrapText="1"/>
      <protection locked="0"/>
    </xf>
    <xf numFmtId="0" fontId="16" fillId="0" borderId="7" xfId="0" applyFont="1" applyFill="1" applyBorder="1" applyAlignment="1" applyProtection="1">
      <alignment vertical="center" wrapText="1"/>
      <protection locked="0"/>
    </xf>
    <xf numFmtId="0" fontId="16" fillId="0" borderId="0" xfId="0" applyFont="1" applyFill="1" applyBorder="1" applyAlignment="1" applyProtection="1">
      <alignment vertical="center" wrapText="1"/>
      <protection locked="0"/>
    </xf>
    <xf numFmtId="0" fontId="16" fillId="0" borderId="15" xfId="0" applyFont="1" applyFill="1"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0" xfId="0" applyAlignment="1" applyProtection="1">
      <alignment vertical="center" wrapText="1"/>
      <protection locked="0"/>
    </xf>
    <xf numFmtId="0" fontId="28" fillId="0" borderId="0" xfId="3" applyFill="1" applyBorder="1" applyAlignment="1" applyProtection="1">
      <alignment vertical="center" wrapText="1"/>
      <protection locked="0"/>
    </xf>
    <xf numFmtId="0" fontId="16" fillId="0" borderId="8" xfId="0" applyFont="1" applyFill="1" applyBorder="1" applyAlignment="1" applyProtection="1">
      <alignment vertical="center" wrapText="1"/>
      <protection locked="0"/>
    </xf>
    <xf numFmtId="0" fontId="28" fillId="0" borderId="8" xfId="3" applyFill="1" applyBorder="1" applyAlignment="1" applyProtection="1">
      <alignment horizontal="center" vertical="center" wrapText="1"/>
      <protection locked="0"/>
    </xf>
    <xf numFmtId="0" fontId="0" fillId="0" borderId="0" xfId="0" applyFill="1" applyProtection="1">
      <protection locked="0"/>
    </xf>
    <xf numFmtId="0" fontId="0" fillId="0" borderId="9" xfId="0" applyFill="1" applyBorder="1" applyAlignment="1" applyProtection="1">
      <alignment vertical="center"/>
      <protection locked="0"/>
    </xf>
    <xf numFmtId="0" fontId="17" fillId="0" borderId="1" xfId="0" applyFont="1" applyFill="1" applyBorder="1" applyAlignment="1" applyProtection="1">
      <alignment vertical="center"/>
      <protection locked="0"/>
    </xf>
    <xf numFmtId="0" fontId="0" fillId="0" borderId="1" xfId="0" applyFill="1" applyBorder="1" applyAlignment="1" applyProtection="1">
      <alignment vertical="center" wrapText="1"/>
      <protection locked="0"/>
    </xf>
    <xf numFmtId="0" fontId="0" fillId="0" borderId="10" xfId="0" applyFill="1" applyBorder="1" applyAlignment="1" applyProtection="1">
      <alignment vertical="center" wrapText="1"/>
      <protection locked="0"/>
    </xf>
    <xf numFmtId="0" fontId="0" fillId="0" borderId="9" xfId="0" applyFill="1" applyBorder="1" applyAlignment="1" applyProtection="1">
      <alignment vertical="center" wrapText="1"/>
      <protection locked="0"/>
    </xf>
    <xf numFmtId="0" fontId="0" fillId="0" borderId="1" xfId="0" applyFill="1"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42" fillId="0" borderId="0" xfId="0" applyFont="1" applyBorder="1" applyAlignment="1" applyProtection="1">
      <alignment vertical="center"/>
      <protection locked="0"/>
    </xf>
    <xf numFmtId="0" fontId="23" fillId="9" borderId="3" xfId="0" applyFont="1" applyFill="1" applyBorder="1" applyAlignment="1" applyProtection="1">
      <alignment horizontal="center" vertical="center" wrapText="1"/>
      <protection locked="0"/>
    </xf>
    <xf numFmtId="0" fontId="0" fillId="0" borderId="9" xfId="0" applyBorder="1" applyAlignment="1" applyProtection="1">
      <alignment vertical="center"/>
      <protection locked="0"/>
    </xf>
    <xf numFmtId="0" fontId="0" fillId="0" borderId="1" xfId="0" applyBorder="1" applyAlignment="1" applyProtection="1">
      <alignment vertical="center"/>
      <protection locked="0"/>
    </xf>
    <xf numFmtId="0" fontId="0" fillId="0" borderId="10" xfId="0" applyBorder="1" applyAlignment="1" applyProtection="1">
      <alignment vertical="center"/>
      <protection locked="0"/>
    </xf>
    <xf numFmtId="0" fontId="7" fillId="0" borderId="0" xfId="0" applyFont="1" applyBorder="1" applyAlignment="1" applyProtection="1">
      <alignment vertical="center"/>
      <protection locked="0"/>
    </xf>
    <xf numFmtId="0" fontId="0" fillId="0" borderId="3" xfId="0"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0" fillId="0" borderId="0" xfId="0" applyFill="1" applyBorder="1" applyAlignment="1" applyProtection="1">
      <alignment horizontal="center" vertical="center" wrapText="1"/>
      <protection locked="0"/>
    </xf>
    <xf numFmtId="0" fontId="28" fillId="0" borderId="0" xfId="3" applyBorder="1" applyAlignment="1" applyProtection="1">
      <alignment vertical="center"/>
      <protection locked="0"/>
    </xf>
    <xf numFmtId="0" fontId="33" fillId="9" borderId="11" xfId="0" applyFont="1" applyFill="1"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0" fillId="5" borderId="0" xfId="0" applyFill="1" applyAlignment="1" applyProtection="1">
      <alignment horizontal="left" vertical="center"/>
      <protection locked="0"/>
    </xf>
    <xf numFmtId="0" fontId="0" fillId="8" borderId="23" xfId="0"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3" xfId="0" applyBorder="1" applyAlignment="1" applyProtection="1">
      <alignment vertical="center" wrapText="1"/>
      <protection locked="0"/>
    </xf>
    <xf numFmtId="0" fontId="0" fillId="0" borderId="8"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vertical="center"/>
      <protection locked="0"/>
    </xf>
    <xf numFmtId="9" fontId="0" fillId="0" borderId="0" xfId="2" applyFont="1" applyBorder="1" applyAlignment="1" applyProtection="1">
      <alignment vertical="center"/>
      <protection locked="0"/>
    </xf>
    <xf numFmtId="181" fontId="0" fillId="0" borderId="0" xfId="2" applyNumberFormat="1" applyFont="1" applyBorder="1" applyAlignment="1" applyProtection="1">
      <alignment vertical="center"/>
      <protection locked="0"/>
    </xf>
    <xf numFmtId="0" fontId="0" fillId="8" borderId="25" xfId="0" applyFill="1" applyBorder="1" applyAlignment="1" applyProtection="1">
      <alignment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0" fillId="5" borderId="0" xfId="0" applyFill="1" applyBorder="1" applyAlignment="1" applyProtection="1">
      <alignment vertical="center"/>
      <protection locked="0"/>
    </xf>
    <xf numFmtId="0" fontId="15" fillId="0" borderId="0" xfId="0" applyFont="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center" vertical="center" wrapText="1"/>
      <protection locked="0"/>
    </xf>
    <xf numFmtId="0" fontId="11"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167" fontId="0" fillId="0" borderId="3" xfId="0" applyNumberFormat="1" applyBorder="1" applyAlignment="1" applyProtection="1">
      <alignment vertical="center"/>
      <protection locked="0"/>
    </xf>
    <xf numFmtId="167" fontId="0" fillId="0" borderId="3" xfId="1" applyNumberFormat="1" applyFont="1" applyBorder="1" applyAlignment="1" applyProtection="1">
      <alignment vertical="center"/>
      <protection locked="0"/>
    </xf>
    <xf numFmtId="166" fontId="0" fillId="0" borderId="3" xfId="0" applyNumberFormat="1" applyBorder="1" applyAlignment="1" applyProtection="1">
      <alignment vertical="center"/>
      <protection locked="0"/>
    </xf>
    <xf numFmtId="166" fontId="0" fillId="0" borderId="0" xfId="0" applyNumberFormat="1" applyBorder="1" applyAlignment="1" applyProtection="1">
      <alignment vertical="center"/>
      <protection locked="0"/>
    </xf>
    <xf numFmtId="0" fontId="15" fillId="0" borderId="0" xfId="0" applyFont="1" applyFill="1" applyBorder="1" applyAlignment="1" applyProtection="1">
      <alignment vertical="center"/>
      <protection locked="0"/>
    </xf>
    <xf numFmtId="166" fontId="23" fillId="9" borderId="3" xfId="1" applyFont="1" applyFill="1" applyBorder="1" applyAlignment="1" applyProtection="1">
      <alignment horizontal="center" vertical="center" wrapText="1"/>
      <protection locked="0"/>
    </xf>
    <xf numFmtId="0" fontId="23" fillId="9" borderId="2" xfId="0" applyFont="1" applyFill="1" applyBorder="1" applyAlignment="1" applyProtection="1">
      <alignment vertical="center" wrapText="1"/>
      <protection locked="0"/>
    </xf>
    <xf numFmtId="0" fontId="23" fillId="9" borderId="11" xfId="0" applyFont="1" applyFill="1" applyBorder="1" applyAlignment="1" applyProtection="1">
      <alignment vertical="center" wrapText="1"/>
      <protection locked="0"/>
    </xf>
    <xf numFmtId="0" fontId="0" fillId="0" borderId="14" xfId="0" applyFill="1" applyBorder="1" applyAlignment="1" applyProtection="1">
      <alignment vertical="center" wrapText="1"/>
      <protection locked="0"/>
    </xf>
    <xf numFmtId="0" fontId="1" fillId="6" borderId="12" xfId="0" applyFont="1" applyFill="1" applyBorder="1" applyAlignment="1" applyProtection="1">
      <alignment vertical="center"/>
      <protection locked="0"/>
    </xf>
    <xf numFmtId="0" fontId="0" fillId="0" borderId="3" xfId="0" applyFill="1" applyBorder="1" applyAlignment="1" applyProtection="1">
      <alignment vertical="center" wrapText="1"/>
      <protection locked="0"/>
    </xf>
    <xf numFmtId="0" fontId="23" fillId="9" borderId="11" xfId="0" applyFont="1" applyFill="1" applyBorder="1" applyAlignment="1" applyProtection="1">
      <alignment vertical="center"/>
      <protection locked="0"/>
    </xf>
    <xf numFmtId="0" fontId="23" fillId="9" borderId="2" xfId="0" applyFont="1" applyFill="1" applyBorder="1" applyAlignment="1" applyProtection="1">
      <alignment vertical="center"/>
      <protection locked="0"/>
    </xf>
    <xf numFmtId="0" fontId="23" fillId="9" borderId="3" xfId="0" applyFont="1" applyFill="1" applyBorder="1" applyAlignment="1" applyProtection="1">
      <alignment horizontal="center" vertical="center"/>
      <protection locked="0"/>
    </xf>
    <xf numFmtId="0" fontId="0" fillId="0" borderId="14" xfId="0"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vertical="center"/>
      <protection locked="0"/>
    </xf>
    <xf numFmtId="0" fontId="23" fillId="9" borderId="3" xfId="0" applyFont="1" applyFill="1" applyBorder="1" applyAlignment="1" applyProtection="1">
      <alignment vertical="center"/>
      <protection locked="0"/>
    </xf>
    <xf numFmtId="0" fontId="0" fillId="8" borderId="0" xfId="0" applyFill="1" applyAlignment="1" applyProtection="1">
      <alignment vertical="center"/>
      <protection locked="0"/>
    </xf>
    <xf numFmtId="174" fontId="0" fillId="0" borderId="3" xfId="1" applyNumberFormat="1" applyFont="1" applyFill="1" applyBorder="1" applyAlignment="1" applyProtection="1">
      <alignment horizontal="center" vertical="center" wrapText="1"/>
    </xf>
    <xf numFmtId="175" fontId="0" fillId="0" borderId="3" xfId="1" applyNumberFormat="1" applyFont="1" applyFill="1" applyBorder="1" applyAlignment="1" applyProtection="1">
      <alignment horizontal="center" vertical="center" wrapText="1"/>
    </xf>
    <xf numFmtId="9" fontId="16" fillId="0" borderId="3" xfId="0" applyNumberFormat="1" applyFont="1" applyFill="1" applyBorder="1" applyAlignment="1" applyProtection="1">
      <alignment horizontal="center" vertical="center"/>
    </xf>
    <xf numFmtId="0" fontId="0" fillId="0" borderId="3" xfId="0" applyFill="1" applyBorder="1" applyAlignment="1" applyProtection="1">
      <alignment horizontal="center" vertical="center" wrapText="1"/>
    </xf>
    <xf numFmtId="175" fontId="0" fillId="0" borderId="3" xfId="1" applyNumberFormat="1" applyFont="1" applyBorder="1" applyAlignment="1" applyProtection="1">
      <alignment horizontal="center" vertical="center"/>
    </xf>
    <xf numFmtId="175" fontId="0" fillId="0" borderId="3" xfId="0" applyNumberFormat="1" applyBorder="1" applyAlignment="1" applyProtection="1">
      <alignment horizontal="center" vertical="center"/>
    </xf>
    <xf numFmtId="174" fontId="0" fillId="0" borderId="3" xfId="0" applyNumberFormat="1" applyBorder="1" applyAlignment="1" applyProtection="1">
      <alignment horizontal="center" vertical="center"/>
    </xf>
    <xf numFmtId="9" fontId="0" fillId="0" borderId="3" xfId="2" applyFont="1" applyBorder="1" applyAlignment="1" applyProtection="1">
      <alignment horizontal="center" vertical="center"/>
    </xf>
    <xf numFmtId="0" fontId="0" fillId="0" borderId="3" xfId="0" applyBorder="1" applyAlignment="1" applyProtection="1">
      <alignment vertical="center"/>
    </xf>
    <xf numFmtId="176" fontId="0" fillId="0" borderId="11" xfId="1" applyNumberFormat="1" applyFont="1" applyFill="1" applyBorder="1" applyAlignment="1" applyProtection="1">
      <alignment horizontal="right" vertical="center"/>
    </xf>
    <xf numFmtId="167" fontId="1" fillId="6" borderId="2" xfId="1" applyNumberFormat="1" applyFont="1" applyFill="1" applyBorder="1" applyAlignment="1" applyProtection="1">
      <alignment horizontal="right" vertical="center"/>
    </xf>
    <xf numFmtId="0" fontId="1" fillId="6" borderId="2" xfId="0" applyFont="1" applyFill="1" applyBorder="1" applyAlignment="1" applyProtection="1">
      <alignment vertical="center"/>
    </xf>
    <xf numFmtId="0" fontId="1" fillId="6" borderId="12" xfId="0" applyFont="1" applyFill="1" applyBorder="1" applyAlignment="1" applyProtection="1">
      <alignment vertical="center"/>
    </xf>
    <xf numFmtId="177" fontId="0" fillId="0" borderId="3" xfId="1" applyNumberFormat="1" applyFont="1" applyBorder="1" applyAlignment="1" applyProtection="1">
      <alignment horizontal="center" vertical="center"/>
    </xf>
    <xf numFmtId="10" fontId="0" fillId="0" borderId="3" xfId="0" applyNumberFormat="1" applyBorder="1" applyAlignment="1" applyProtection="1">
      <alignment vertical="center"/>
    </xf>
    <xf numFmtId="176" fontId="0" fillId="0" borderId="3" xfId="1" applyNumberFormat="1" applyFont="1" applyBorder="1" applyAlignment="1" applyProtection="1">
      <alignment horizontal="center" vertical="center"/>
    </xf>
    <xf numFmtId="0" fontId="0" fillId="5" borderId="0" xfId="0" applyFont="1" applyFill="1" applyAlignment="1" applyProtection="1">
      <alignment vertical="center"/>
      <protection locked="0"/>
    </xf>
    <xf numFmtId="0" fontId="9" fillId="5" borderId="0" xfId="0" applyFont="1" applyFill="1" applyAlignment="1" applyProtection="1">
      <alignment horizontal="center" vertical="center"/>
      <protection locked="0"/>
    </xf>
    <xf numFmtId="0" fontId="0" fillId="0" borderId="0" xfId="0" applyFont="1" applyAlignment="1" applyProtection="1">
      <alignment vertical="center"/>
      <protection locked="0"/>
    </xf>
    <xf numFmtId="0" fontId="0" fillId="0" borderId="23"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4" xfId="0" applyFont="1" applyBorder="1" applyAlignment="1" applyProtection="1">
      <alignment vertical="center"/>
      <protection locked="0"/>
    </xf>
    <xf numFmtId="0" fontId="0" fillId="0" borderId="4" xfId="0" applyFont="1" applyBorder="1" applyAlignment="1" applyProtection="1">
      <alignment vertical="center"/>
      <protection locked="0"/>
    </xf>
    <xf numFmtId="0" fontId="0" fillId="0" borderId="5" xfId="0" applyFont="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7" xfId="0" applyFont="1" applyBorder="1" applyAlignment="1" applyProtection="1">
      <alignment vertical="center"/>
      <protection locked="0"/>
    </xf>
    <xf numFmtId="0" fontId="0" fillId="2" borderId="3" xfId="0" applyFont="1" applyFill="1" applyBorder="1" applyAlignment="1" applyProtection="1">
      <alignment vertical="center"/>
      <protection locked="0"/>
    </xf>
    <xf numFmtId="0" fontId="0" fillId="0" borderId="8" xfId="0" applyFont="1" applyBorder="1" applyAlignment="1" applyProtection="1">
      <alignment vertical="center"/>
      <protection locked="0"/>
    </xf>
    <xf numFmtId="0" fontId="0" fillId="0" borderId="23"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7"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0" fillId="0" borderId="8" xfId="0" applyFont="1" applyFill="1" applyBorder="1" applyAlignment="1" applyProtection="1">
      <alignment vertical="center"/>
      <protection locked="0"/>
    </xf>
    <xf numFmtId="0" fontId="0" fillId="0" borderId="24"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0" fillId="0" borderId="9" xfId="0" applyFont="1" applyFill="1" applyBorder="1" applyAlignment="1" applyProtection="1">
      <alignment vertical="center"/>
      <protection locked="0"/>
    </xf>
    <xf numFmtId="0" fontId="0" fillId="0" borderId="1" xfId="0" applyFont="1" applyFill="1" applyBorder="1" applyAlignment="1" applyProtection="1">
      <alignment vertical="center"/>
      <protection locked="0"/>
    </xf>
    <xf numFmtId="0" fontId="0" fillId="0" borderId="10" xfId="0" applyFont="1" applyFill="1" applyBorder="1" applyAlignment="1" applyProtection="1">
      <alignment vertical="center"/>
      <protection locked="0"/>
    </xf>
    <xf numFmtId="0" fontId="1" fillId="5" borderId="3" xfId="0" applyFont="1" applyFill="1" applyBorder="1" applyAlignment="1" applyProtection="1">
      <alignment horizontal="center" vertical="top"/>
      <protection locked="0"/>
    </xf>
    <xf numFmtId="0" fontId="0" fillId="0" borderId="9"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167" fontId="0" fillId="2" borderId="3" xfId="1" applyNumberFormat="1" applyFont="1" applyFill="1" applyBorder="1" applyAlignment="1" applyProtection="1">
      <alignment vertical="center"/>
      <protection locked="0"/>
    </xf>
    <xf numFmtId="9" fontId="0" fillId="2" borderId="3" xfId="0" applyNumberFormat="1" applyFont="1" applyFill="1" applyBorder="1" applyAlignment="1" applyProtection="1">
      <alignment vertical="center"/>
      <protection locked="0"/>
    </xf>
    <xf numFmtId="9" fontId="0" fillId="2" borderId="3" xfId="2" applyFont="1" applyFill="1" applyBorder="1" applyAlignment="1" applyProtection="1">
      <alignment vertical="center"/>
      <protection locked="0"/>
    </xf>
    <xf numFmtId="0" fontId="1" fillId="10" borderId="3" xfId="0" applyFont="1" applyFill="1" applyBorder="1" applyAlignment="1" applyProtection="1">
      <alignment horizontal="center" vertical="center"/>
      <protection locked="0"/>
    </xf>
    <xf numFmtId="0" fontId="28" fillId="10" borderId="3" xfId="3" applyFill="1"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0" fillId="0" borderId="3" xfId="0" applyFont="1" applyBorder="1" applyAlignment="1" applyProtection="1">
      <alignment horizontal="center" vertical="center"/>
    </xf>
    <xf numFmtId="0" fontId="0" fillId="0" borderId="0" xfId="0" applyFont="1" applyBorder="1" applyAlignment="1" applyProtection="1">
      <alignment vertical="center"/>
    </xf>
    <xf numFmtId="0" fontId="0" fillId="0" borderId="0" xfId="0" applyFont="1" applyBorder="1" applyAlignment="1" applyProtection="1">
      <alignment vertical="center" wrapText="1"/>
    </xf>
    <xf numFmtId="166" fontId="0" fillId="0" borderId="3" xfId="1" applyFont="1" applyBorder="1" applyAlignment="1" applyProtection="1">
      <alignment vertical="center"/>
    </xf>
    <xf numFmtId="0" fontId="0" fillId="0" borderId="3" xfId="0" applyFont="1" applyBorder="1" applyAlignment="1" applyProtection="1">
      <alignment horizontal="left" vertical="center" indent="2"/>
    </xf>
    <xf numFmtId="0" fontId="28" fillId="0" borderId="0" xfId="3" applyBorder="1" applyAlignment="1" applyProtection="1">
      <alignment vertical="center"/>
    </xf>
    <xf numFmtId="0" fontId="1" fillId="0" borderId="0" xfId="0" applyFont="1" applyBorder="1" applyAlignment="1" applyProtection="1">
      <alignment vertical="center"/>
    </xf>
    <xf numFmtId="0" fontId="1"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ill="1" applyBorder="1" applyAlignment="1" applyProtection="1">
      <alignment vertical="center"/>
    </xf>
    <xf numFmtId="0" fontId="0" fillId="0" borderId="0" xfId="0" applyBorder="1" applyAlignment="1" applyProtection="1">
      <alignment vertical="center"/>
    </xf>
    <xf numFmtId="0" fontId="0" fillId="0" borderId="11" xfId="0" applyBorder="1" applyAlignment="1" applyProtection="1">
      <alignment vertical="center"/>
    </xf>
    <xf numFmtId="0" fontId="0" fillId="0" borderId="12" xfId="0" applyBorder="1" applyAlignment="1" applyProtection="1">
      <alignment vertical="center"/>
    </xf>
    <xf numFmtId="0" fontId="0" fillId="0" borderId="11" xfId="0" applyFill="1" applyBorder="1" applyAlignment="1" applyProtection="1">
      <alignment vertical="center"/>
    </xf>
    <xf numFmtId="0" fontId="0" fillId="0" borderId="2" xfId="0" applyFill="1" applyBorder="1" applyAlignment="1" applyProtection="1">
      <alignment vertical="center"/>
    </xf>
    <xf numFmtId="0" fontId="0" fillId="0" borderId="2" xfId="0" applyBorder="1" applyAlignment="1" applyProtection="1">
      <alignment vertical="center"/>
    </xf>
    <xf numFmtId="0" fontId="1" fillId="6" borderId="3" xfId="0" applyFont="1" applyFill="1" applyBorder="1" applyAlignment="1" applyProtection="1">
      <alignment vertical="center"/>
    </xf>
    <xf numFmtId="0" fontId="1" fillId="6" borderId="11" xfId="0" applyFont="1" applyFill="1" applyBorder="1" applyAlignment="1" applyProtection="1">
      <alignment vertical="center"/>
    </xf>
    <xf numFmtId="0" fontId="0" fillId="0" borderId="11" xfId="0" applyBorder="1" applyAlignment="1" applyProtection="1">
      <alignment vertical="center" wrapText="1"/>
    </xf>
    <xf numFmtId="0" fontId="0" fillId="0" borderId="3" xfId="0" applyFont="1" applyBorder="1" applyAlignment="1" applyProtection="1">
      <alignment horizontal="left" vertical="center"/>
    </xf>
    <xf numFmtId="0" fontId="1" fillId="0" borderId="0" xfId="0" applyFont="1" applyBorder="1" applyAlignment="1" applyProtection="1">
      <alignment horizontal="center" vertical="center" wrapText="1"/>
    </xf>
    <xf numFmtId="1" fontId="0" fillId="0" borderId="3" xfId="0" applyNumberFormat="1" applyBorder="1" applyAlignment="1" applyProtection="1">
      <alignment horizontal="center" vertical="center"/>
    </xf>
    <xf numFmtId="14" fontId="0" fillId="2" borderId="3" xfId="0" applyNumberFormat="1" applyFont="1" applyFill="1" applyBorder="1" applyAlignment="1" applyProtection="1">
      <alignment vertical="center"/>
      <protection locked="0"/>
    </xf>
    <xf numFmtId="176" fontId="0" fillId="5" borderId="11" xfId="1" applyNumberFormat="1" applyFont="1" applyFill="1" applyBorder="1" applyAlignment="1" applyProtection="1">
      <alignment vertical="center" wrapText="1"/>
      <protection locked="0"/>
    </xf>
    <xf numFmtId="179" fontId="0" fillId="2" borderId="0" xfId="1" applyNumberFormat="1" applyFont="1" applyFill="1"/>
    <xf numFmtId="180" fontId="0" fillId="0" borderId="3" xfId="2" applyNumberFormat="1" applyFont="1" applyBorder="1" applyAlignment="1" applyProtection="1">
      <alignment horizontal="center" vertical="center"/>
    </xf>
    <xf numFmtId="1" fontId="0" fillId="2" borderId="0" xfId="2" applyNumberFormat="1" applyFont="1" applyFill="1"/>
    <xf numFmtId="182" fontId="0" fillId="2" borderId="0" xfId="6" applyNumberFormat="1" applyFont="1" applyFill="1"/>
    <xf numFmtId="180" fontId="0" fillId="2" borderId="0" xfId="2" applyNumberFormat="1" applyFont="1" applyFill="1"/>
    <xf numFmtId="0" fontId="0" fillId="0" borderId="11" xfId="1" applyNumberFormat="1" applyFont="1" applyBorder="1" applyAlignment="1">
      <alignment vertical="center" wrapText="1"/>
    </xf>
    <xf numFmtId="180" fontId="0" fillId="5" borderId="11" xfId="1" applyNumberFormat="1" applyFont="1" applyFill="1" applyBorder="1" applyAlignment="1" applyProtection="1">
      <alignment vertical="center" wrapText="1"/>
      <protection locked="0"/>
    </xf>
    <xf numFmtId="180" fontId="0" fillId="5" borderId="3" xfId="1" applyNumberFormat="1" applyFont="1" applyFill="1" applyBorder="1" applyAlignment="1" applyProtection="1">
      <alignment horizontal="right" vertical="center" wrapText="1"/>
      <protection locked="0"/>
    </xf>
    <xf numFmtId="176" fontId="0" fillId="5" borderId="3" xfId="1" applyNumberFormat="1" applyFont="1" applyFill="1" applyBorder="1" applyAlignment="1" applyProtection="1">
      <alignment horizontal="right" vertical="center" wrapText="1"/>
      <protection locked="0"/>
    </xf>
    <xf numFmtId="177" fontId="0" fillId="0" borderId="0" xfId="0" applyNumberFormat="1" applyBorder="1" applyAlignment="1" applyProtection="1">
      <alignment vertical="center"/>
      <protection locked="0"/>
    </xf>
    <xf numFmtId="10" fontId="0" fillId="0" borderId="0" xfId="2" applyNumberFormat="1" applyFont="1"/>
    <xf numFmtId="0" fontId="23" fillId="9" borderId="3" xfId="0" applyFont="1" applyFill="1" applyBorder="1" applyAlignment="1" applyProtection="1">
      <alignment horizontal="center" vertical="center" wrapText="1"/>
      <protection locked="0"/>
    </xf>
    <xf numFmtId="0" fontId="0" fillId="0" borderId="0" xfId="0" applyAlignment="1">
      <alignment horizontal="left"/>
    </xf>
    <xf numFmtId="0" fontId="0" fillId="0" borderId="0" xfId="0" applyNumberFormat="1"/>
    <xf numFmtId="0" fontId="52" fillId="5" borderId="0" xfId="0" applyFont="1" applyFill="1" applyAlignment="1" applyProtection="1">
      <alignment vertical="center"/>
      <protection locked="0"/>
    </xf>
    <xf numFmtId="0" fontId="53" fillId="5" borderId="0" xfId="0" applyFont="1" applyFill="1" applyAlignment="1" applyProtection="1">
      <alignment horizontal="center" vertical="center"/>
      <protection locked="0"/>
    </xf>
    <xf numFmtId="0" fontId="55" fillId="5" borderId="0" xfId="0" applyFont="1" applyFill="1" applyAlignment="1" applyProtection="1">
      <alignment horizontal="center" vertical="center"/>
      <protection locked="0"/>
    </xf>
    <xf numFmtId="0" fontId="56" fillId="5" borderId="0" xfId="0" applyFont="1" applyFill="1" applyAlignment="1" applyProtection="1">
      <alignment vertical="center"/>
      <protection locked="0"/>
    </xf>
    <xf numFmtId="0" fontId="57" fillId="5" borderId="0" xfId="0" applyFont="1" applyFill="1" applyAlignment="1" applyProtection="1">
      <alignment horizontal="center" vertical="center"/>
      <protection locked="0"/>
    </xf>
    <xf numFmtId="0" fontId="52" fillId="8" borderId="20" xfId="0" applyFont="1" applyFill="1" applyBorder="1" applyAlignment="1" applyProtection="1">
      <alignment vertical="center"/>
      <protection locked="0"/>
    </xf>
    <xf numFmtId="0" fontId="52" fillId="0" borderId="21" xfId="0" applyFont="1" applyBorder="1" applyAlignment="1" applyProtection="1">
      <alignment vertical="center"/>
      <protection locked="0"/>
    </xf>
    <xf numFmtId="0" fontId="52" fillId="0" borderId="22" xfId="0" applyFont="1" applyBorder="1" applyAlignment="1" applyProtection="1">
      <alignment vertical="center"/>
      <protection locked="0"/>
    </xf>
    <xf numFmtId="0" fontId="52" fillId="0" borderId="0" xfId="0" applyFont="1" applyAlignment="1" applyProtection="1">
      <alignment vertical="center"/>
      <protection locked="0"/>
    </xf>
    <xf numFmtId="0" fontId="52" fillId="8" borderId="23" xfId="0" applyFont="1" applyFill="1" applyBorder="1" applyAlignment="1" applyProtection="1">
      <alignment vertical="center"/>
      <protection locked="0"/>
    </xf>
    <xf numFmtId="0" fontId="52" fillId="0" borderId="24" xfId="0" applyFont="1" applyBorder="1" applyAlignment="1" applyProtection="1">
      <alignment vertical="center"/>
      <protection locked="0"/>
    </xf>
    <xf numFmtId="0" fontId="52" fillId="0" borderId="0" xfId="0" applyFont="1" applyBorder="1" applyAlignment="1" applyProtection="1">
      <alignment vertical="center"/>
      <protection locked="0"/>
    </xf>
    <xf numFmtId="0" fontId="59" fillId="0" borderId="0" xfId="0" applyFont="1" applyBorder="1" applyAlignment="1" applyProtection="1">
      <alignment horizontal="center" vertical="center"/>
      <protection locked="0"/>
    </xf>
    <xf numFmtId="0" fontId="52" fillId="0" borderId="4" xfId="0" applyFont="1" applyFill="1" applyBorder="1" applyAlignment="1" applyProtection="1">
      <alignment vertical="center"/>
      <protection locked="0"/>
    </xf>
    <xf numFmtId="0" fontId="52" fillId="0" borderId="5" xfId="0" applyFont="1" applyFill="1" applyBorder="1" applyAlignment="1" applyProtection="1">
      <alignment vertical="center"/>
      <protection locked="0"/>
    </xf>
    <xf numFmtId="0" fontId="52" fillId="0" borderId="6" xfId="0" applyFont="1" applyFill="1" applyBorder="1" applyAlignment="1" applyProtection="1">
      <alignment vertical="center"/>
      <protection locked="0"/>
    </xf>
    <xf numFmtId="0" fontId="52" fillId="0" borderId="7" xfId="0" applyFont="1" applyFill="1" applyBorder="1" applyAlignment="1" applyProtection="1">
      <alignment vertical="center"/>
      <protection locked="0"/>
    </xf>
    <xf numFmtId="0" fontId="52" fillId="0" borderId="0" xfId="0" applyFont="1" applyFill="1" applyBorder="1" applyAlignment="1" applyProtection="1">
      <alignment vertical="center"/>
      <protection locked="0"/>
    </xf>
    <xf numFmtId="0" fontId="52" fillId="0" borderId="8" xfId="0" applyFont="1" applyFill="1" applyBorder="1" applyAlignment="1" applyProtection="1">
      <alignment vertical="center"/>
      <protection locked="0"/>
    </xf>
    <xf numFmtId="0" fontId="62" fillId="0" borderId="0" xfId="3" applyFont="1" applyFill="1" applyBorder="1" applyAlignment="1" applyProtection="1">
      <alignment vertical="center"/>
      <protection locked="0"/>
    </xf>
    <xf numFmtId="0" fontId="63" fillId="0" borderId="0" xfId="0" applyFont="1" applyFill="1" applyBorder="1" applyAlignment="1" applyProtection="1">
      <alignment vertical="center"/>
      <protection locked="0"/>
    </xf>
    <xf numFmtId="0" fontId="64" fillId="0" borderId="4" xfId="0" applyFont="1" applyFill="1" applyBorder="1" applyAlignment="1" applyProtection="1">
      <alignment vertical="center"/>
      <protection locked="0"/>
    </xf>
    <xf numFmtId="0" fontId="64" fillId="0" borderId="5" xfId="0" applyFont="1" applyFill="1" applyBorder="1" applyAlignment="1" applyProtection="1">
      <alignment vertical="center"/>
      <protection locked="0"/>
    </xf>
    <xf numFmtId="0" fontId="64" fillId="0" borderId="6" xfId="0" applyFont="1" applyFill="1" applyBorder="1" applyAlignment="1" applyProtection="1">
      <alignment vertical="center"/>
      <protection locked="0"/>
    </xf>
    <xf numFmtId="0" fontId="64" fillId="0" borderId="7"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4" fillId="0" borderId="8" xfId="0" applyFont="1" applyFill="1" applyBorder="1" applyAlignment="1" applyProtection="1">
      <alignment vertical="center"/>
      <protection locked="0"/>
    </xf>
    <xf numFmtId="0" fontId="66" fillId="0" borderId="0" xfId="0" applyFont="1" applyFill="1" applyBorder="1" applyAlignment="1" applyProtection="1">
      <alignment horizontal="center" vertical="center" wrapText="1"/>
      <protection locked="0"/>
    </xf>
    <xf numFmtId="0" fontId="52" fillId="0" borderId="8"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xf>
    <xf numFmtId="0" fontId="52" fillId="5" borderId="14" xfId="0" applyFont="1" applyFill="1" applyBorder="1" applyAlignment="1" applyProtection="1">
      <alignment vertical="center" wrapText="1"/>
      <protection locked="0"/>
    </xf>
    <xf numFmtId="0" fontId="52" fillId="5" borderId="3" xfId="0" applyFont="1" applyFill="1" applyBorder="1" applyAlignment="1" applyProtection="1">
      <alignment vertical="center" wrapText="1"/>
      <protection locked="0"/>
    </xf>
    <xf numFmtId="174" fontId="52" fillId="0" borderId="3" xfId="1" applyNumberFormat="1" applyFont="1" applyFill="1" applyBorder="1" applyAlignment="1" applyProtection="1">
      <alignment horizontal="center" vertical="center" wrapText="1"/>
    </xf>
    <xf numFmtId="0" fontId="64" fillId="0" borderId="15" xfId="0" applyFont="1" applyFill="1" applyBorder="1" applyAlignment="1" applyProtection="1">
      <alignment vertical="center"/>
      <protection locked="0"/>
    </xf>
    <xf numFmtId="0" fontId="52" fillId="5" borderId="0" xfId="0" applyFont="1" applyFill="1" applyAlignment="1" applyProtection="1">
      <alignment vertical="center" wrapText="1"/>
      <protection locked="0"/>
    </xf>
    <xf numFmtId="0" fontId="52" fillId="8" borderId="23" xfId="0" applyFont="1" applyFill="1" applyBorder="1" applyAlignment="1" applyProtection="1">
      <alignment vertical="center" wrapText="1"/>
      <protection locked="0"/>
    </xf>
    <xf numFmtId="0" fontId="52" fillId="0" borderId="7" xfId="0" applyFont="1" applyFill="1" applyBorder="1" applyAlignment="1" applyProtection="1">
      <alignment vertical="center" wrapText="1"/>
      <protection locked="0"/>
    </xf>
    <xf numFmtId="0" fontId="52" fillId="0" borderId="0" xfId="0" applyFont="1" applyFill="1" applyBorder="1" applyAlignment="1" applyProtection="1">
      <alignment vertical="center" wrapText="1"/>
      <protection locked="0"/>
    </xf>
    <xf numFmtId="0" fontId="52" fillId="0" borderId="8" xfId="0" applyFont="1" applyFill="1" applyBorder="1" applyAlignment="1" applyProtection="1">
      <alignment vertical="center" wrapText="1"/>
      <protection locked="0"/>
    </xf>
    <xf numFmtId="0" fontId="64" fillId="0" borderId="7" xfId="0" applyFont="1" applyFill="1" applyBorder="1" applyAlignment="1" applyProtection="1">
      <alignment vertical="center" wrapText="1"/>
      <protection locked="0"/>
    </xf>
    <xf numFmtId="0" fontId="64" fillId="0" borderId="0" xfId="0" applyFont="1" applyFill="1" applyBorder="1" applyAlignment="1" applyProtection="1">
      <alignment vertical="center" wrapText="1"/>
      <protection locked="0"/>
    </xf>
    <xf numFmtId="0" fontId="64" fillId="0" borderId="15" xfId="0" applyFont="1" applyFill="1" applyBorder="1" applyAlignment="1" applyProtection="1">
      <alignment vertical="center" wrapText="1"/>
      <protection locked="0"/>
    </xf>
    <xf numFmtId="0" fontId="52" fillId="0" borderId="24" xfId="0" applyFont="1" applyBorder="1" applyAlignment="1" applyProtection="1">
      <alignment vertical="center" wrapText="1"/>
      <protection locked="0"/>
    </xf>
    <xf numFmtId="0" fontId="52" fillId="0" borderId="0" xfId="0" applyFont="1" applyAlignment="1" applyProtection="1">
      <alignment vertical="center" wrapText="1"/>
      <protection locked="0"/>
    </xf>
    <xf numFmtId="0" fontId="62" fillId="0" borderId="0" xfId="3" applyFont="1" applyFill="1" applyBorder="1" applyAlignment="1" applyProtection="1">
      <alignment vertical="center"/>
    </xf>
    <xf numFmtId="0" fontId="52" fillId="5" borderId="13" xfId="0" applyFont="1" applyFill="1" applyBorder="1" applyAlignment="1" applyProtection="1">
      <alignment vertical="center" wrapText="1"/>
      <protection locked="0"/>
    </xf>
    <xf numFmtId="175" fontId="52" fillId="0" borderId="3" xfId="1" applyNumberFormat="1" applyFont="1" applyFill="1" applyBorder="1" applyAlignment="1" applyProtection="1">
      <alignment horizontal="center" vertical="center" wrapText="1"/>
    </xf>
    <xf numFmtId="0" fontId="62" fillId="0" borderId="0" xfId="3" applyFont="1" applyFill="1" applyBorder="1" applyAlignment="1" applyProtection="1">
      <alignment vertical="center" wrapText="1"/>
      <protection locked="0"/>
    </xf>
    <xf numFmtId="9" fontId="64" fillId="0" borderId="3" xfId="0" applyNumberFormat="1" applyFont="1" applyFill="1" applyBorder="1" applyAlignment="1" applyProtection="1">
      <alignment horizontal="center" vertical="center"/>
    </xf>
    <xf numFmtId="0" fontId="64" fillId="0" borderId="8" xfId="0" applyFont="1" applyFill="1" applyBorder="1" applyAlignment="1" applyProtection="1">
      <alignment vertical="center" wrapText="1"/>
      <protection locked="0"/>
    </xf>
    <xf numFmtId="9" fontId="52" fillId="5" borderId="3" xfId="2" applyFont="1" applyFill="1" applyBorder="1" applyAlignment="1" applyProtection="1">
      <alignment vertical="center" wrapText="1"/>
      <protection locked="0"/>
    </xf>
    <xf numFmtId="0" fontId="64" fillId="0" borderId="0" xfId="0" applyFont="1" applyFill="1" applyBorder="1" applyAlignment="1" applyProtection="1">
      <alignment vertical="center"/>
    </xf>
    <xf numFmtId="0" fontId="62" fillId="0" borderId="8" xfId="3" applyFont="1" applyFill="1" applyBorder="1" applyAlignment="1" applyProtection="1">
      <alignment horizontal="center" vertical="center" wrapText="1"/>
      <protection locked="0"/>
    </xf>
    <xf numFmtId="0" fontId="52" fillId="0" borderId="9" xfId="0" applyFont="1" applyFill="1" applyBorder="1" applyAlignment="1" applyProtection="1">
      <alignment vertical="center" wrapText="1"/>
      <protection locked="0"/>
    </xf>
    <xf numFmtId="0" fontId="52" fillId="0" borderId="1" xfId="0" applyFont="1" applyFill="1" applyBorder="1" applyAlignment="1" applyProtection="1">
      <alignment vertical="center" wrapText="1"/>
      <protection locked="0"/>
    </xf>
    <xf numFmtId="0" fontId="52" fillId="0" borderId="10" xfId="0" applyFont="1" applyFill="1" applyBorder="1" applyAlignment="1" applyProtection="1">
      <alignment vertical="center" wrapText="1"/>
      <protection locked="0"/>
    </xf>
    <xf numFmtId="0" fontId="64" fillId="0" borderId="9" xfId="0" applyFont="1" applyFill="1" applyBorder="1" applyAlignment="1" applyProtection="1">
      <alignment vertical="center" wrapText="1"/>
      <protection locked="0"/>
    </xf>
    <xf numFmtId="0" fontId="52" fillId="0" borderId="1" xfId="0" applyFont="1" applyBorder="1" applyAlignment="1" applyProtection="1">
      <alignment vertical="center" wrapText="1"/>
      <protection locked="0"/>
    </xf>
    <xf numFmtId="0" fontId="52" fillId="0" borderId="9" xfId="0" applyFont="1" applyFill="1" applyBorder="1" applyAlignment="1" applyProtection="1">
      <alignment vertical="center"/>
      <protection locked="0"/>
    </xf>
    <xf numFmtId="0" fontId="52" fillId="0" borderId="1" xfId="0" applyFont="1" applyFill="1" applyBorder="1" applyAlignment="1" applyProtection="1">
      <alignment vertical="center"/>
      <protection locked="0"/>
    </xf>
    <xf numFmtId="0" fontId="52" fillId="0" borderId="10" xfId="0" applyFont="1" applyFill="1" applyBorder="1" applyAlignment="1" applyProtection="1">
      <alignment vertical="center"/>
      <protection locked="0"/>
    </xf>
    <xf numFmtId="0" fontId="52" fillId="0" borderId="4" xfId="0" applyFont="1" applyBorder="1" applyAlignment="1" applyProtection="1">
      <alignment vertical="center"/>
      <protection locked="0"/>
    </xf>
    <xf numFmtId="0" fontId="52" fillId="0" borderId="5" xfId="0" applyFont="1" applyBorder="1" applyAlignment="1" applyProtection="1">
      <alignment vertical="center"/>
      <protection locked="0"/>
    </xf>
    <xf numFmtId="0" fontId="52" fillId="0" borderId="6" xfId="0" applyFont="1" applyBorder="1" applyAlignment="1" applyProtection="1">
      <alignment vertical="center"/>
      <protection locked="0"/>
    </xf>
    <xf numFmtId="0" fontId="52" fillId="0" borderId="7" xfId="0" applyFont="1" applyBorder="1" applyAlignment="1" applyProtection="1">
      <alignment vertical="center"/>
      <protection locked="0"/>
    </xf>
    <xf numFmtId="0" fontId="52" fillId="0" borderId="8" xfId="0" applyFont="1" applyBorder="1" applyAlignment="1" applyProtection="1">
      <alignment vertical="center"/>
      <protection locked="0"/>
    </xf>
    <xf numFmtId="0" fontId="68" fillId="0" borderId="0" xfId="0" applyFont="1" applyBorder="1" applyAlignment="1" applyProtection="1">
      <alignment vertical="center"/>
    </xf>
    <xf numFmtId="0" fontId="65" fillId="9" borderId="3" xfId="0" applyFont="1" applyFill="1" applyBorder="1" applyAlignment="1" applyProtection="1">
      <alignment horizontal="center" vertical="center" wrapText="1"/>
      <protection locked="0"/>
    </xf>
    <xf numFmtId="0" fontId="52" fillId="0" borderId="11" xfId="0" applyFont="1" applyBorder="1" applyAlignment="1" applyProtection="1">
      <alignment vertical="center"/>
    </xf>
    <xf numFmtId="0" fontId="52" fillId="0" borderId="12" xfId="0" applyFont="1" applyBorder="1" applyAlignment="1" applyProtection="1">
      <alignment vertical="center"/>
    </xf>
    <xf numFmtId="0" fontId="52" fillId="5" borderId="3" xfId="0" applyFont="1" applyFill="1" applyBorder="1" applyAlignment="1" applyProtection="1">
      <alignment horizontal="center" vertical="center" wrapText="1"/>
      <protection locked="0"/>
    </xf>
    <xf numFmtId="0" fontId="52" fillId="0" borderId="9" xfId="0" applyFont="1" applyBorder="1" applyAlignment="1" applyProtection="1">
      <alignment vertical="center"/>
      <protection locked="0"/>
    </xf>
    <xf numFmtId="0" fontId="52" fillId="0" borderId="1" xfId="0" applyFont="1" applyBorder="1" applyAlignment="1" applyProtection="1">
      <alignment vertical="center"/>
      <protection locked="0"/>
    </xf>
    <xf numFmtId="0" fontId="52" fillId="0" borderId="10" xfId="0" applyFont="1" applyBorder="1" applyAlignment="1" applyProtection="1">
      <alignment vertical="center"/>
      <protection locked="0"/>
    </xf>
    <xf numFmtId="0" fontId="69" fillId="0" borderId="0" xfId="0" applyFont="1" applyBorder="1" applyAlignment="1" applyProtection="1">
      <alignment vertical="center"/>
      <protection locked="0"/>
    </xf>
    <xf numFmtId="0" fontId="52" fillId="0" borderId="3" xfId="0" applyFont="1" applyFill="1" applyBorder="1" applyAlignment="1" applyProtection="1">
      <alignment vertical="center"/>
      <protection locked="0"/>
    </xf>
    <xf numFmtId="0" fontId="52" fillId="0" borderId="0" xfId="0" applyFont="1" applyFill="1" applyBorder="1" applyAlignment="1" applyProtection="1">
      <alignment vertical="center" wrapText="1"/>
    </xf>
    <xf numFmtId="0" fontId="52" fillId="5" borderId="11" xfId="0" applyFont="1" applyFill="1" applyBorder="1" applyAlignment="1" applyProtection="1">
      <alignment vertical="center" wrapText="1"/>
      <protection locked="0"/>
    </xf>
    <xf numFmtId="0" fontId="52" fillId="0" borderId="3" xfId="0" applyFont="1" applyFill="1" applyBorder="1" applyAlignment="1" applyProtection="1">
      <alignment horizontal="center" vertical="center" wrapText="1"/>
    </xf>
    <xf numFmtId="0" fontId="70" fillId="0" borderId="0" xfId="0" applyFont="1" applyFill="1" applyBorder="1" applyAlignment="1" applyProtection="1">
      <alignment vertical="center"/>
    </xf>
    <xf numFmtId="0" fontId="70" fillId="0" borderId="0" xfId="0" applyFont="1" applyFill="1" applyBorder="1" applyAlignment="1" applyProtection="1">
      <alignment vertical="center"/>
      <protection locked="0"/>
    </xf>
    <xf numFmtId="0" fontId="52" fillId="0" borderId="0" xfId="0" applyFont="1" applyFill="1" applyBorder="1" applyAlignment="1" applyProtection="1">
      <alignment horizontal="center" vertical="center" wrapText="1"/>
      <protection locked="0"/>
    </xf>
    <xf numFmtId="0" fontId="62" fillId="0" borderId="0" xfId="3" applyFont="1" applyBorder="1" applyAlignment="1" applyProtection="1">
      <alignment vertical="center"/>
      <protection locked="0"/>
    </xf>
    <xf numFmtId="0" fontId="71" fillId="9" borderId="3" xfId="0" applyFont="1" applyFill="1" applyBorder="1" applyAlignment="1" applyProtection="1">
      <alignment horizontal="center" vertical="center" wrapText="1"/>
      <protection locked="0"/>
    </xf>
    <xf numFmtId="183" fontId="52" fillId="5" borderId="3" xfId="1" applyNumberFormat="1" applyFont="1" applyFill="1" applyBorder="1" applyAlignment="1" applyProtection="1">
      <alignment horizontal="center" vertical="center" wrapText="1"/>
      <protection locked="0"/>
    </xf>
    <xf numFmtId="9" fontId="52" fillId="5" borderId="3" xfId="2" applyFont="1" applyFill="1" applyBorder="1" applyAlignment="1" applyProtection="1">
      <alignment horizontal="center" vertical="center" wrapText="1"/>
      <protection locked="0"/>
    </xf>
    <xf numFmtId="167" fontId="52" fillId="5" borderId="3" xfId="1" applyNumberFormat="1" applyFont="1" applyFill="1" applyBorder="1" applyAlignment="1" applyProtection="1">
      <alignment horizontal="center" vertical="center" wrapText="1"/>
      <protection locked="0"/>
    </xf>
    <xf numFmtId="0" fontId="52" fillId="0" borderId="0" xfId="0" applyFont="1" applyBorder="1" applyAlignment="1" applyProtection="1">
      <alignment vertical="center" wrapText="1"/>
      <protection locked="0"/>
    </xf>
    <xf numFmtId="0" fontId="52" fillId="5" borderId="0" xfId="0" applyFont="1" applyFill="1" applyAlignment="1" applyProtection="1">
      <alignment horizontal="left" vertical="center"/>
      <protection locked="0"/>
    </xf>
    <xf numFmtId="0" fontId="52" fillId="8" borderId="23" xfId="0" applyFont="1" applyFill="1" applyBorder="1" applyAlignment="1" applyProtection="1">
      <alignment horizontal="left" vertical="center"/>
      <protection locked="0"/>
    </xf>
    <xf numFmtId="0" fontId="52" fillId="0" borderId="7" xfId="0" applyFont="1" applyBorder="1" applyAlignment="1" applyProtection="1">
      <alignment horizontal="left" vertical="center"/>
      <protection locked="0"/>
    </xf>
    <xf numFmtId="0" fontId="52" fillId="0" borderId="0" xfId="0" applyFont="1" applyBorder="1" applyAlignment="1" applyProtection="1">
      <alignment horizontal="left" vertical="center"/>
      <protection locked="0"/>
    </xf>
    <xf numFmtId="0" fontId="52" fillId="0" borderId="11" xfId="0" applyFont="1" applyFill="1" applyBorder="1" applyAlignment="1" applyProtection="1">
      <alignment vertical="center"/>
    </xf>
    <xf numFmtId="0" fontId="52" fillId="0" borderId="2" xfId="0" applyFont="1" applyFill="1" applyBorder="1" applyAlignment="1" applyProtection="1">
      <alignment vertical="center"/>
    </xf>
    <xf numFmtId="0" fontId="52" fillId="0" borderId="3" xfId="0" applyFont="1" applyBorder="1" applyAlignment="1" applyProtection="1">
      <alignment vertical="center" wrapText="1"/>
      <protection locked="0"/>
    </xf>
    <xf numFmtId="0" fontId="52" fillId="0" borderId="8" xfId="0" applyFont="1" applyBorder="1" applyAlignment="1" applyProtection="1">
      <alignment horizontal="left" vertical="center"/>
      <protection locked="0"/>
    </xf>
    <xf numFmtId="0" fontId="52" fillId="0" borderId="24" xfId="0" applyFont="1" applyBorder="1" applyAlignment="1" applyProtection="1">
      <alignment horizontal="left" vertical="center"/>
      <protection locked="0"/>
    </xf>
    <xf numFmtId="0" fontId="52" fillId="0" borderId="0" xfId="0" applyFont="1" applyAlignment="1" applyProtection="1">
      <alignment horizontal="left" vertical="center"/>
      <protection locked="0"/>
    </xf>
    <xf numFmtId="0" fontId="52" fillId="0" borderId="3" xfId="0" applyFont="1" applyBorder="1" applyAlignment="1" applyProtection="1">
      <alignment vertical="center"/>
      <protection locked="0"/>
    </xf>
    <xf numFmtId="0" fontId="52" fillId="8" borderId="25" xfId="0" applyFont="1" applyFill="1" applyBorder="1" applyAlignment="1" applyProtection="1">
      <alignment vertical="center"/>
      <protection locked="0"/>
    </xf>
    <xf numFmtId="0" fontId="52" fillId="0" borderId="26" xfId="0" applyFont="1" applyBorder="1" applyAlignment="1" applyProtection="1">
      <alignment vertical="center"/>
      <protection locked="0"/>
    </xf>
    <xf numFmtId="0" fontId="52" fillId="0" borderId="27" xfId="0" applyFont="1" applyBorder="1" applyAlignment="1" applyProtection="1">
      <alignment vertical="center"/>
      <protection locked="0"/>
    </xf>
    <xf numFmtId="0" fontId="73" fillId="0" borderId="0" xfId="0" applyFont="1" applyBorder="1" applyAlignment="1" applyProtection="1">
      <alignment vertical="center"/>
      <protection locked="0"/>
    </xf>
    <xf numFmtId="0" fontId="66" fillId="0" borderId="0" xfId="0" applyFont="1" applyBorder="1" applyAlignment="1" applyProtection="1">
      <alignment vertical="center"/>
      <protection locked="0"/>
    </xf>
    <xf numFmtId="0" fontId="66" fillId="0" borderId="0" xfId="0" applyFont="1" applyBorder="1" applyAlignment="1" applyProtection="1">
      <alignment horizontal="center" vertical="center" wrapText="1"/>
      <protection locked="0"/>
    </xf>
    <xf numFmtId="0" fontId="52" fillId="5" borderId="3" xfId="0" applyFont="1" applyFill="1" applyBorder="1" applyAlignment="1" applyProtection="1">
      <alignment vertical="center"/>
      <protection locked="0"/>
    </xf>
    <xf numFmtId="175" fontId="52" fillId="0" borderId="3" xfId="0" applyNumberFormat="1" applyFont="1" applyBorder="1" applyAlignment="1" applyProtection="1">
      <alignment horizontal="center" vertical="center"/>
    </xf>
    <xf numFmtId="0" fontId="56" fillId="0" borderId="0" xfId="0" applyFont="1" applyBorder="1" applyAlignment="1" applyProtection="1">
      <alignment vertical="center"/>
      <protection locked="0"/>
    </xf>
    <xf numFmtId="174" fontId="52" fillId="0" borderId="3" xfId="0" applyNumberFormat="1" applyFont="1" applyBorder="1" applyAlignment="1" applyProtection="1">
      <alignment horizontal="center" vertical="center"/>
    </xf>
    <xf numFmtId="0" fontId="63" fillId="0" borderId="0" xfId="0" applyFont="1" applyBorder="1" applyAlignment="1" applyProtection="1">
      <alignment vertical="center"/>
      <protection locked="0"/>
    </xf>
    <xf numFmtId="9" fontId="52" fillId="5" borderId="3" xfId="2" applyFont="1" applyFill="1" applyBorder="1" applyAlignment="1" applyProtection="1">
      <alignment vertical="center"/>
      <protection locked="0"/>
    </xf>
    <xf numFmtId="9" fontId="52" fillId="0" borderId="3" xfId="2" applyFont="1" applyBorder="1" applyAlignment="1" applyProtection="1">
      <alignment horizontal="center" vertical="center"/>
    </xf>
    <xf numFmtId="0" fontId="52" fillId="0" borderId="0" xfId="0" applyFont="1" applyBorder="1" applyAlignment="1" applyProtection="1">
      <alignment vertical="center"/>
    </xf>
    <xf numFmtId="175" fontId="52" fillId="0" borderId="3" xfId="1" applyNumberFormat="1" applyFont="1" applyBorder="1" applyAlignment="1" applyProtection="1">
      <alignment horizontal="center" vertical="center"/>
    </xf>
    <xf numFmtId="167" fontId="52" fillId="0" borderId="3" xfId="0" applyNumberFormat="1" applyFont="1" applyBorder="1" applyAlignment="1" applyProtection="1">
      <alignment vertical="center"/>
    </xf>
    <xf numFmtId="167" fontId="52" fillId="0" borderId="3" xfId="1" applyNumberFormat="1" applyFont="1" applyBorder="1" applyAlignment="1" applyProtection="1">
      <alignment vertical="center"/>
    </xf>
    <xf numFmtId="166" fontId="52" fillId="0" borderId="3" xfId="0" applyNumberFormat="1" applyFont="1" applyBorder="1" applyAlignment="1" applyProtection="1">
      <alignment vertical="center"/>
    </xf>
    <xf numFmtId="166" fontId="52" fillId="0" borderId="0" xfId="0" applyNumberFormat="1" applyFont="1" applyBorder="1" applyAlignment="1" applyProtection="1">
      <alignment vertical="center"/>
      <protection locked="0"/>
    </xf>
    <xf numFmtId="1" fontId="52" fillId="0" borderId="3" xfId="0" applyNumberFormat="1" applyFont="1" applyBorder="1" applyAlignment="1" applyProtection="1">
      <alignment horizontal="center" vertical="center"/>
    </xf>
    <xf numFmtId="0" fontId="52" fillId="0" borderId="3" xfId="0" applyFont="1" applyBorder="1" applyAlignment="1" applyProtection="1">
      <alignment horizontal="center" vertical="center"/>
    </xf>
    <xf numFmtId="0" fontId="52" fillId="0" borderId="0" xfId="0" applyFont="1" applyBorder="1" applyAlignment="1" applyProtection="1">
      <alignment horizontal="left" vertical="center" wrapText="1"/>
      <protection locked="0"/>
    </xf>
    <xf numFmtId="0" fontId="73" fillId="0" borderId="0" xfId="0" applyFont="1" applyFill="1" applyBorder="1" applyAlignment="1" applyProtection="1">
      <alignment vertical="center"/>
      <protection locked="0"/>
    </xf>
    <xf numFmtId="180" fontId="52" fillId="5" borderId="3" xfId="0" applyNumberFormat="1" applyFont="1" applyFill="1" applyBorder="1" applyAlignment="1" applyProtection="1">
      <alignment vertical="center"/>
      <protection locked="0"/>
    </xf>
    <xf numFmtId="166" fontId="65" fillId="9" borderId="3" xfId="1" applyFont="1" applyFill="1" applyBorder="1" applyAlignment="1" applyProtection="1">
      <alignment horizontal="center" vertical="center" wrapText="1"/>
      <protection locked="0"/>
    </xf>
    <xf numFmtId="176" fontId="52" fillId="2" borderId="3" xfId="1" applyNumberFormat="1" applyFont="1" applyFill="1" applyBorder="1" applyAlignment="1" applyProtection="1">
      <alignment vertical="center" wrapText="1"/>
      <protection locked="0"/>
    </xf>
    <xf numFmtId="9" fontId="52" fillId="2" borderId="3" xfId="2" applyFont="1" applyFill="1" applyBorder="1" applyAlignment="1" applyProtection="1">
      <alignment vertical="center" wrapText="1"/>
      <protection locked="0"/>
    </xf>
    <xf numFmtId="0" fontId="65" fillId="9" borderId="2" xfId="0" applyFont="1" applyFill="1" applyBorder="1" applyAlignment="1" applyProtection="1">
      <alignment vertical="center" wrapText="1"/>
      <protection locked="0"/>
    </xf>
    <xf numFmtId="0" fontId="65" fillId="9" borderId="11" xfId="0" applyFont="1" applyFill="1" applyBorder="1" applyAlignment="1" applyProtection="1">
      <alignment vertical="center" wrapText="1"/>
      <protection locked="0"/>
    </xf>
    <xf numFmtId="0" fontId="52" fillId="0" borderId="2" xfId="0" applyFont="1" applyBorder="1" applyAlignment="1" applyProtection="1">
      <alignment vertical="center"/>
    </xf>
    <xf numFmtId="0" fontId="52" fillId="0" borderId="3" xfId="0" applyFont="1" applyBorder="1" applyAlignment="1" applyProtection="1">
      <alignment vertical="center"/>
    </xf>
    <xf numFmtId="0" fontId="52" fillId="2" borderId="2" xfId="0" applyFont="1" applyFill="1" applyBorder="1" applyAlignment="1" applyProtection="1">
      <alignment horizontal="center" vertical="center"/>
      <protection locked="0"/>
    </xf>
    <xf numFmtId="176" fontId="52" fillId="0" borderId="11" xfId="1" applyNumberFormat="1" applyFont="1" applyFill="1" applyBorder="1" applyAlignment="1" applyProtection="1">
      <alignment horizontal="center" vertical="center"/>
    </xf>
    <xf numFmtId="0" fontId="52" fillId="0" borderId="14" xfId="0" applyFont="1" applyFill="1" applyBorder="1" applyAlignment="1" applyProtection="1">
      <alignment vertical="center" wrapText="1"/>
      <protection locked="0"/>
    </xf>
    <xf numFmtId="0" fontId="66" fillId="6" borderId="11" xfId="0" applyFont="1" applyFill="1" applyBorder="1" applyAlignment="1" applyProtection="1">
      <alignment vertical="center"/>
    </xf>
    <xf numFmtId="0" fontId="66" fillId="6" borderId="2" xfId="0" applyFont="1" applyFill="1" applyBorder="1" applyAlignment="1" applyProtection="1">
      <alignment vertical="center"/>
    </xf>
    <xf numFmtId="0" fontId="66" fillId="6" borderId="3" xfId="0" applyFont="1" applyFill="1" applyBorder="1" applyAlignment="1" applyProtection="1">
      <alignment vertical="center"/>
    </xf>
    <xf numFmtId="0" fontId="66" fillId="6" borderId="2" xfId="0" applyFont="1" applyFill="1" applyBorder="1" applyAlignment="1" applyProtection="1">
      <alignment horizontal="center" vertical="center"/>
      <protection locked="0"/>
    </xf>
    <xf numFmtId="167" fontId="66" fillId="6" borderId="2" xfId="1" applyNumberFormat="1" applyFont="1" applyFill="1" applyBorder="1" applyAlignment="1" applyProtection="1">
      <alignment horizontal="right" vertical="center"/>
    </xf>
    <xf numFmtId="0" fontId="66" fillId="6" borderId="12" xfId="0" applyFont="1" applyFill="1" applyBorder="1" applyAlignment="1" applyProtection="1">
      <alignment vertical="center"/>
    </xf>
    <xf numFmtId="0" fontId="66" fillId="6" borderId="2" xfId="0" applyFont="1" applyFill="1" applyBorder="1" applyAlignment="1" applyProtection="1">
      <alignment vertical="center"/>
      <protection locked="0"/>
    </xf>
    <xf numFmtId="0" fontId="66" fillId="6" borderId="12" xfId="0" applyFont="1" applyFill="1" applyBorder="1" applyAlignment="1" applyProtection="1">
      <alignment vertical="center"/>
      <protection locked="0"/>
    </xf>
    <xf numFmtId="0" fontId="52" fillId="0" borderId="3" xfId="0" applyFont="1" applyFill="1" applyBorder="1" applyAlignment="1" applyProtection="1">
      <alignment vertical="center" wrapText="1"/>
      <protection locked="0"/>
    </xf>
    <xf numFmtId="0" fontId="65" fillId="9" borderId="11" xfId="0" applyFont="1" applyFill="1" applyBorder="1" applyAlignment="1" applyProtection="1">
      <alignment vertical="center"/>
      <protection locked="0"/>
    </xf>
    <xf numFmtId="0" fontId="65" fillId="9" borderId="2" xfId="0" applyFont="1" applyFill="1" applyBorder="1" applyAlignment="1" applyProtection="1">
      <alignment vertical="center"/>
      <protection locked="0"/>
    </xf>
    <xf numFmtId="0" fontId="65" fillId="9" borderId="3" xfId="0" applyFont="1" applyFill="1" applyBorder="1" applyAlignment="1" applyProtection="1">
      <alignment horizontal="center" vertical="center"/>
      <protection locked="0"/>
    </xf>
    <xf numFmtId="0" fontId="52" fillId="0" borderId="14" xfId="0" applyFont="1" applyBorder="1" applyAlignment="1" applyProtection="1">
      <alignment vertical="center"/>
      <protection locked="0"/>
    </xf>
    <xf numFmtId="0" fontId="52" fillId="0" borderId="11" xfId="0" applyFont="1" applyBorder="1" applyAlignment="1" applyProtection="1">
      <alignment vertical="center" wrapText="1"/>
    </xf>
    <xf numFmtId="179" fontId="52" fillId="0" borderId="3" xfId="1" applyNumberFormat="1" applyFont="1" applyBorder="1" applyAlignment="1" applyProtection="1">
      <alignment horizontal="center" vertical="center"/>
    </xf>
    <xf numFmtId="10" fontId="52" fillId="0" borderId="3" xfId="0" applyNumberFormat="1" applyFont="1" applyBorder="1" applyAlignment="1" applyProtection="1">
      <alignment horizontal="center" vertical="center"/>
    </xf>
    <xf numFmtId="0" fontId="52" fillId="5" borderId="0" xfId="0" applyFont="1" applyFill="1" applyBorder="1" applyAlignment="1" applyProtection="1">
      <alignment vertical="center"/>
      <protection locked="0"/>
    </xf>
    <xf numFmtId="0" fontId="65" fillId="9" borderId="3" xfId="0" applyFont="1" applyFill="1" applyBorder="1" applyAlignment="1" applyProtection="1">
      <alignment vertical="center"/>
      <protection locked="0"/>
    </xf>
    <xf numFmtId="0" fontId="52" fillId="0" borderId="3" xfId="0" applyFont="1" applyBorder="1" applyAlignment="1" applyProtection="1">
      <alignment horizontal="left" vertical="center"/>
    </xf>
    <xf numFmtId="167" fontId="52" fillId="5" borderId="3" xfId="1" applyNumberFormat="1" applyFont="1" applyFill="1" applyBorder="1" applyAlignment="1" applyProtection="1">
      <alignment horizontal="center" vertical="center"/>
      <protection locked="0"/>
    </xf>
    <xf numFmtId="176" fontId="52" fillId="0" borderId="3" xfId="1" applyNumberFormat="1" applyFont="1" applyBorder="1" applyAlignment="1" applyProtection="1">
      <alignment horizontal="center" vertical="center"/>
    </xf>
    <xf numFmtId="176" fontId="52" fillId="5" borderId="3" xfId="1" applyNumberFormat="1" applyFont="1" applyFill="1" applyBorder="1" applyAlignment="1" applyProtection="1">
      <alignment horizontal="center" vertical="center"/>
      <protection locked="0"/>
    </xf>
    <xf numFmtId="167" fontId="52" fillId="5" borderId="3" xfId="1" applyNumberFormat="1" applyFont="1" applyFill="1" applyBorder="1" applyAlignment="1" applyProtection="1">
      <alignment vertical="center"/>
      <protection locked="0"/>
    </xf>
    <xf numFmtId="0" fontId="52" fillId="8" borderId="0" xfId="0" applyFont="1" applyFill="1" applyAlignment="1" applyProtection="1">
      <alignment vertical="center"/>
      <protection locked="0"/>
    </xf>
    <xf numFmtId="166" fontId="1" fillId="7" borderId="11" xfId="1" applyFont="1" applyFill="1" applyBorder="1" applyAlignment="1">
      <alignment horizontal="left"/>
    </xf>
    <xf numFmtId="166" fontId="1" fillId="7" borderId="2" xfId="1" applyFont="1" applyFill="1" applyBorder="1" applyAlignment="1">
      <alignment horizontal="left"/>
    </xf>
    <xf numFmtId="166" fontId="1" fillId="7" borderId="12" xfId="1" applyFont="1" applyFill="1" applyBorder="1" applyAlignment="1">
      <alignment horizontal="left"/>
    </xf>
    <xf numFmtId="166" fontId="0" fillId="0" borderId="3" xfId="1" applyFont="1" applyBorder="1" applyAlignment="1" applyProtection="1">
      <alignment horizontal="center" vertical="center"/>
    </xf>
    <xf numFmtId="166" fontId="1" fillId="7" borderId="11" xfId="1" applyFont="1" applyFill="1" applyBorder="1" applyAlignment="1">
      <alignment horizontal="left"/>
    </xf>
    <xf numFmtId="166" fontId="1" fillId="7" borderId="2" xfId="1" applyFont="1" applyFill="1" applyBorder="1" applyAlignment="1">
      <alignment horizontal="left"/>
    </xf>
    <xf numFmtId="166" fontId="1" fillId="7" borderId="12" xfId="1" applyFont="1" applyFill="1" applyBorder="1" applyAlignment="1">
      <alignment horizontal="left"/>
    </xf>
    <xf numFmtId="166" fontId="0" fillId="4" borderId="0" xfId="1" applyFont="1" applyFill="1"/>
    <xf numFmtId="166" fontId="0" fillId="4" borderId="7" xfId="1" applyFont="1" applyFill="1" applyBorder="1"/>
    <xf numFmtId="166" fontId="0" fillId="4" borderId="0" xfId="1" applyFont="1" applyFill="1" applyBorder="1"/>
    <xf numFmtId="166" fontId="0" fillId="4" borderId="8" xfId="1" applyFont="1" applyFill="1" applyBorder="1"/>
    <xf numFmtId="166" fontId="0" fillId="18" borderId="0" xfId="1" applyFont="1" applyFill="1"/>
    <xf numFmtId="166" fontId="0" fillId="18" borderId="7" xfId="1" applyFont="1" applyFill="1" applyBorder="1"/>
    <xf numFmtId="166" fontId="0" fillId="18" borderId="0" xfId="1" applyFont="1" applyFill="1" applyBorder="1"/>
    <xf numFmtId="166" fontId="0" fillId="18" borderId="8" xfId="1" applyFont="1" applyFill="1" applyBorder="1"/>
    <xf numFmtId="9" fontId="0" fillId="0" borderId="3" xfId="2" applyFont="1" applyBorder="1"/>
    <xf numFmtId="9" fontId="0" fillId="0" borderId="3" xfId="0" applyNumberFormat="1" applyBorder="1"/>
    <xf numFmtId="166" fontId="0" fillId="4" borderId="9" xfId="1" applyFont="1" applyFill="1" applyBorder="1"/>
    <xf numFmtId="166" fontId="0" fillId="4" borderId="1" xfId="1" applyFont="1" applyFill="1" applyBorder="1"/>
    <xf numFmtId="166" fontId="0" fillId="4" borderId="10" xfId="1" applyFont="1" applyFill="1" applyBorder="1"/>
    <xf numFmtId="166" fontId="0" fillId="18" borderId="0" xfId="0" applyNumberFormat="1" applyFill="1"/>
    <xf numFmtId="166" fontId="52" fillId="0" borderId="3" xfId="1" applyNumberFormat="1" applyFont="1" applyBorder="1" applyAlignment="1" applyProtection="1">
      <alignment horizontal="center" vertical="center"/>
    </xf>
    <xf numFmtId="184" fontId="0" fillId="0" borderId="0" xfId="0" applyNumberFormat="1"/>
    <xf numFmtId="0" fontId="0" fillId="3" borderId="0" xfId="0" applyFill="1"/>
    <xf numFmtId="166" fontId="0" fillId="3" borderId="0" xfId="0" applyNumberFormat="1" applyFill="1"/>
    <xf numFmtId="180" fontId="0" fillId="0" borderId="0" xfId="0" applyNumberFormat="1"/>
    <xf numFmtId="166" fontId="0" fillId="0" borderId="0" xfId="0" quotePrefix="1" applyNumberFormat="1"/>
    <xf numFmtId="166" fontId="0" fillId="0" borderId="11" xfId="1" applyNumberFormat="1" applyFont="1" applyBorder="1" applyAlignment="1">
      <alignment vertical="center" wrapText="1"/>
    </xf>
    <xf numFmtId="9" fontId="0" fillId="0" borderId="0" xfId="0" applyNumberFormat="1" applyBorder="1" applyAlignment="1" applyProtection="1">
      <alignment vertical="center"/>
      <protection locked="0"/>
    </xf>
    <xf numFmtId="0" fontId="24" fillId="0" borderId="0" xfId="0" applyFont="1"/>
    <xf numFmtId="0" fontId="75" fillId="0" borderId="0" xfId="0" applyFont="1"/>
    <xf numFmtId="0" fontId="24" fillId="0" borderId="0" xfId="0" applyFont="1" applyBorder="1" applyAlignment="1"/>
    <xf numFmtId="0" fontId="20" fillId="0" borderId="0" xfId="0" applyFont="1" applyFill="1" applyAlignment="1">
      <alignment vertical="center"/>
    </xf>
    <xf numFmtId="0" fontId="24" fillId="0" borderId="0" xfId="0" applyFont="1" applyAlignment="1">
      <alignment vertical="center"/>
    </xf>
    <xf numFmtId="0" fontId="77" fillId="0" borderId="0" xfId="0" applyFont="1"/>
    <xf numFmtId="0" fontId="24" fillId="0" borderId="0" xfId="0" applyFont="1" applyAlignment="1"/>
    <xf numFmtId="0" fontId="79" fillId="0" borderId="0" xfId="0" applyFont="1"/>
    <xf numFmtId="0" fontId="80" fillId="0" borderId="0" xfId="0" applyFont="1"/>
    <xf numFmtId="0" fontId="24" fillId="0" borderId="0" xfId="0" applyFont="1" applyAlignment="1">
      <alignment horizontal="left" vertical="center" wrapText="1"/>
    </xf>
    <xf numFmtId="0" fontId="24" fillId="0" borderId="0" xfId="0" applyFont="1" applyAlignment="1">
      <alignment horizontal="left" vertical="center" wrapText="1"/>
    </xf>
    <xf numFmtId="166" fontId="24" fillId="0" borderId="0" xfId="1" applyFont="1"/>
    <xf numFmtId="10" fontId="24" fillId="0" borderId="0" xfId="2" applyNumberFormat="1" applyFont="1"/>
    <xf numFmtId="9" fontId="24" fillId="0" borderId="0" xfId="0" applyNumberFormat="1" applyFont="1"/>
    <xf numFmtId="167" fontId="24" fillId="0" borderId="0" xfId="1" applyNumberFormat="1" applyFont="1"/>
    <xf numFmtId="10" fontId="24" fillId="0" borderId="0" xfId="0" applyNumberFormat="1" applyFont="1"/>
    <xf numFmtId="0" fontId="46" fillId="0" borderId="0" xfId="0" applyFont="1" applyFill="1" applyAlignment="1">
      <alignment vertical="center"/>
    </xf>
    <xf numFmtId="0" fontId="0" fillId="0" borderId="0" xfId="0" applyFont="1" applyBorder="1" applyAlignment="1">
      <alignment horizontal="left"/>
    </xf>
    <xf numFmtId="0" fontId="19" fillId="0" borderId="0" xfId="0" applyFont="1" applyAlignment="1">
      <alignment horizontal="center" wrapText="1"/>
    </xf>
    <xf numFmtId="0" fontId="88" fillId="0" borderId="0" xfId="0" applyFont="1"/>
    <xf numFmtId="0" fontId="24" fillId="0" borderId="0" xfId="0" applyFont="1" applyAlignment="1">
      <alignment horizontal="left" wrapText="1"/>
    </xf>
    <xf numFmtId="0" fontId="89" fillId="0" borderId="0" xfId="0" applyFont="1"/>
    <xf numFmtId="0" fontId="90" fillId="0" borderId="0" xfId="0" applyFont="1" applyAlignment="1">
      <alignment horizontal="center" wrapText="1"/>
    </xf>
    <xf numFmtId="0" fontId="91" fillId="0" borderId="0" xfId="0" applyFont="1"/>
    <xf numFmtId="0" fontId="92" fillId="0" borderId="0" xfId="0" applyFont="1"/>
    <xf numFmtId="0" fontId="92" fillId="0" borderId="0" xfId="0" applyFont="1" applyAlignment="1">
      <alignment wrapText="1"/>
    </xf>
    <xf numFmtId="0" fontId="92" fillId="0" borderId="0" xfId="0" applyFont="1" applyAlignment="1">
      <alignment horizontal="left" wrapText="1"/>
    </xf>
    <xf numFmtId="0" fontId="11" fillId="0" borderId="0" xfId="0" applyFont="1" applyBorder="1" applyAlignment="1">
      <alignment horizontal="left"/>
    </xf>
    <xf numFmtId="0" fontId="92" fillId="0" borderId="0" xfId="0" applyFont="1" applyAlignment="1">
      <alignment horizontal="left" vertical="center" wrapText="1"/>
    </xf>
    <xf numFmtId="0" fontId="92" fillId="0" borderId="0" xfId="0" applyFont="1" applyAlignment="1">
      <alignment horizontal="left" wrapText="1"/>
    </xf>
    <xf numFmtId="0" fontId="92" fillId="0" borderId="0" xfId="0" applyFont="1" applyAlignment="1">
      <alignment horizontal="left" vertical="center" wrapText="1"/>
    </xf>
    <xf numFmtId="0" fontId="24" fillId="0" borderId="0" xfId="0" applyFont="1" applyAlignment="1">
      <alignment horizontal="left"/>
    </xf>
    <xf numFmtId="0" fontId="24" fillId="0" borderId="0" xfId="0" applyFont="1" applyAlignment="1">
      <alignment horizontal="center" vertical="center" wrapText="1"/>
    </xf>
    <xf numFmtId="0" fontId="94" fillId="0" borderId="0" xfId="0" applyFont="1"/>
    <xf numFmtId="0" fontId="92" fillId="0" borderId="0" xfId="0" applyFont="1" applyAlignment="1">
      <alignment vertical="center" wrapText="1"/>
    </xf>
    <xf numFmtId="0" fontId="95" fillId="0" borderId="0" xfId="0" applyFont="1"/>
    <xf numFmtId="166" fontId="92" fillId="0" borderId="0" xfId="1" applyFont="1"/>
    <xf numFmtId="10" fontId="92" fillId="0" borderId="0" xfId="2" applyNumberFormat="1" applyFont="1"/>
    <xf numFmtId="0" fontId="14" fillId="0" borderId="0" xfId="0" applyFont="1" applyAlignment="1">
      <alignment wrapText="1"/>
    </xf>
    <xf numFmtId="0" fontId="24" fillId="0" borderId="0" xfId="0" applyFont="1" applyAlignment="1">
      <alignment vertical="top" wrapText="1"/>
    </xf>
    <xf numFmtId="0" fontId="24" fillId="0" borderId="0" xfId="0" applyFont="1" applyAlignment="1">
      <alignment vertical="center" wrapText="1"/>
    </xf>
    <xf numFmtId="0" fontId="92" fillId="0" borderId="0" xfId="0" applyFont="1" applyAlignment="1"/>
    <xf numFmtId="3" fontId="24" fillId="0" borderId="0" xfId="0" applyNumberFormat="1" applyFont="1"/>
    <xf numFmtId="164" fontId="24" fillId="0" borderId="0" xfId="0" applyNumberFormat="1" applyFont="1"/>
    <xf numFmtId="0" fontId="0" fillId="5" borderId="3" xfId="0" applyFill="1" applyBorder="1" applyAlignment="1" applyProtection="1">
      <alignment horizontal="center" vertical="center" wrapText="1"/>
      <protection locked="0"/>
    </xf>
    <xf numFmtId="9" fontId="0" fillId="5" borderId="11" xfId="2" applyFont="1" applyFill="1" applyBorder="1" applyAlignment="1" applyProtection="1">
      <alignment vertical="center" wrapText="1"/>
      <protection locked="0"/>
    </xf>
    <xf numFmtId="9" fontId="0" fillId="5" borderId="3" xfId="2" applyFont="1" applyFill="1" applyBorder="1" applyAlignment="1" applyProtection="1">
      <alignment horizontal="right" vertical="center" wrapText="1"/>
      <protection locked="0"/>
    </xf>
    <xf numFmtId="173" fontId="0" fillId="5" borderId="3" xfId="2" applyNumberFormat="1" applyFont="1" applyFill="1" applyBorder="1" applyAlignment="1" applyProtection="1">
      <alignment vertical="center"/>
      <protection locked="0"/>
    </xf>
    <xf numFmtId="0" fontId="0" fillId="5" borderId="3" xfId="0" applyFill="1" applyBorder="1" applyAlignment="1" applyProtection="1">
      <alignment vertical="center"/>
      <protection locked="0"/>
    </xf>
    <xf numFmtId="9" fontId="0" fillId="2" borderId="3" xfId="2" applyFont="1" applyFill="1" applyBorder="1" applyAlignment="1" applyProtection="1">
      <alignment vertical="center" wrapText="1"/>
      <protection locked="0"/>
    </xf>
    <xf numFmtId="1" fontId="0" fillId="2" borderId="2" xfId="0" applyNumberFormat="1" applyFill="1" applyBorder="1" applyAlignment="1" applyProtection="1">
      <alignment horizontal="center" vertical="center"/>
      <protection locked="0"/>
    </xf>
    <xf numFmtId="1" fontId="1" fillId="6" borderId="2" xfId="0" applyNumberFormat="1" applyFont="1" applyFill="1" applyBorder="1" applyAlignment="1" applyProtection="1">
      <alignment horizontal="center" vertical="center"/>
      <protection locked="0"/>
    </xf>
    <xf numFmtId="9" fontId="0" fillId="2" borderId="3" xfId="2"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176" fontId="0" fillId="5" borderId="3" xfId="7" applyNumberFormat="1" applyFont="1" applyFill="1" applyBorder="1" applyAlignment="1" applyProtection="1">
      <alignment horizontal="center" vertical="center"/>
      <protection locked="0"/>
    </xf>
    <xf numFmtId="175" fontId="0" fillId="2" borderId="2" xfId="1" applyNumberFormat="1" applyFont="1" applyFill="1" applyBorder="1" applyAlignment="1" applyProtection="1">
      <alignment horizontal="center" vertical="center"/>
      <protection locked="0"/>
    </xf>
    <xf numFmtId="176" fontId="0" fillId="5" borderId="3" xfId="1" applyNumberFormat="1" applyFont="1" applyFill="1" applyBorder="1" applyAlignment="1" applyProtection="1">
      <alignment horizontal="center" vertical="center"/>
      <protection locked="0"/>
    </xf>
    <xf numFmtId="9" fontId="6" fillId="2" borderId="3" xfId="2"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0" fillId="5" borderId="3" xfId="0" applyFont="1" applyFill="1" applyBorder="1" applyAlignment="1" applyProtection="1">
      <alignment horizontal="center" vertical="center" wrapText="1"/>
      <protection locked="0"/>
    </xf>
    <xf numFmtId="167" fontId="0" fillId="0" borderId="3" xfId="1" applyNumberFormat="1" applyFont="1" applyBorder="1" applyAlignment="1">
      <alignment horizontal="right"/>
    </xf>
    <xf numFmtId="0" fontId="87" fillId="11" borderId="16" xfId="0" applyFont="1" applyFill="1" applyBorder="1" applyAlignment="1" applyProtection="1">
      <alignment horizontal="center" vertical="center" wrapText="1"/>
    </xf>
    <xf numFmtId="0" fontId="87" fillId="11" borderId="17" xfId="0" applyFont="1" applyFill="1" applyBorder="1" applyAlignment="1" applyProtection="1">
      <alignment horizontal="center" vertical="center" wrapText="1"/>
    </xf>
    <xf numFmtId="0" fontId="87" fillId="11" borderId="18" xfId="0" applyFont="1" applyFill="1" applyBorder="1" applyAlignment="1" applyProtection="1">
      <alignment horizontal="center" vertical="center" wrapText="1"/>
    </xf>
    <xf numFmtId="0" fontId="0" fillId="0" borderId="19" xfId="0" applyFont="1" applyBorder="1" applyAlignment="1">
      <alignment horizont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0" xfId="0" applyFont="1" applyBorder="1" applyAlignment="1">
      <alignment horizontal="center" vertical="center" wrapText="1"/>
    </xf>
    <xf numFmtId="0" fontId="35" fillId="11" borderId="40" xfId="0" applyFont="1" applyFill="1" applyBorder="1" applyAlignment="1" applyProtection="1">
      <alignment horizontal="center" vertical="center" wrapText="1"/>
    </xf>
    <xf numFmtId="0" fontId="35" fillId="11" borderId="0" xfId="0" applyFont="1" applyFill="1" applyBorder="1" applyAlignment="1" applyProtection="1">
      <alignment horizontal="center" vertical="center" wrapText="1"/>
    </xf>
    <xf numFmtId="0" fontId="1" fillId="0" borderId="3" xfId="0" applyFont="1" applyBorder="1" applyAlignment="1">
      <alignment horizontal="left"/>
    </xf>
    <xf numFmtId="0" fontId="1" fillId="0" borderId="3" xfId="0" applyFont="1" applyBorder="1" applyAlignment="1">
      <alignment horizontal="center" wrapText="1"/>
    </xf>
    <xf numFmtId="0" fontId="0" fillId="0" borderId="3" xfId="0" applyFont="1" applyBorder="1" applyAlignment="1">
      <alignment horizontal="left" vertical="center" wrapText="1"/>
    </xf>
    <xf numFmtId="0" fontId="49" fillId="16" borderId="3" xfId="4" applyFont="1" applyBorder="1" applyAlignment="1">
      <alignment horizontal="center" vertical="center"/>
    </xf>
    <xf numFmtId="0" fontId="1" fillId="14" borderId="3" xfId="0" applyFont="1" applyFill="1" applyBorder="1" applyAlignment="1">
      <alignment horizontal="center" wrapText="1"/>
    </xf>
    <xf numFmtId="0" fontId="0" fillId="14" borderId="3" xfId="0" applyFont="1" applyFill="1" applyBorder="1" applyAlignment="1">
      <alignment horizontal="left" vertical="center" wrapText="1"/>
    </xf>
    <xf numFmtId="0" fontId="1" fillId="15" borderId="3" xfId="0" applyFont="1" applyFill="1" applyBorder="1" applyAlignment="1">
      <alignment horizontal="center" wrapText="1"/>
    </xf>
    <xf numFmtId="0" fontId="0" fillId="15" borderId="3" xfId="0" applyFont="1" applyFill="1" applyBorder="1" applyAlignment="1">
      <alignment horizontal="left" vertical="center" wrapText="1"/>
    </xf>
    <xf numFmtId="0" fontId="32" fillId="0" borderId="3" xfId="0" applyFont="1" applyBorder="1" applyAlignment="1">
      <alignment horizontal="left"/>
    </xf>
    <xf numFmtId="0" fontId="0" fillId="0" borderId="3" xfId="0" applyFont="1" applyBorder="1" applyAlignment="1">
      <alignment horizontal="left"/>
    </xf>
    <xf numFmtId="0" fontId="32" fillId="15" borderId="11" xfId="0" applyFont="1" applyFill="1" applyBorder="1" applyAlignment="1">
      <alignment horizontal="left" wrapText="1"/>
    </xf>
    <xf numFmtId="0" fontId="32" fillId="15" borderId="2" xfId="0" applyFont="1" applyFill="1" applyBorder="1" applyAlignment="1">
      <alignment horizontal="left" wrapText="1"/>
    </xf>
    <xf numFmtId="0" fontId="32" fillId="15" borderId="12" xfId="0" applyFont="1" applyFill="1" applyBorder="1" applyAlignment="1">
      <alignment horizontal="left" wrapText="1"/>
    </xf>
    <xf numFmtId="0" fontId="32" fillId="14" borderId="3" xfId="0" applyFont="1" applyFill="1" applyBorder="1" applyAlignment="1">
      <alignment horizontal="left"/>
    </xf>
    <xf numFmtId="0" fontId="1" fillId="0" borderId="3" xfId="0" applyFont="1" applyBorder="1" applyAlignment="1">
      <alignment horizontal="center"/>
    </xf>
    <xf numFmtId="0" fontId="0" fillId="14" borderId="3" xfId="0" applyFont="1" applyFill="1" applyBorder="1" applyAlignment="1">
      <alignment horizontal="left" wrapText="1"/>
    </xf>
    <xf numFmtId="0" fontId="32" fillId="15" borderId="3" xfId="0" applyFont="1" applyFill="1" applyBorder="1" applyAlignment="1">
      <alignment horizontal="left"/>
    </xf>
    <xf numFmtId="0" fontId="32" fillId="0" borderId="3" xfId="0" applyFont="1" applyBorder="1" applyAlignment="1"/>
    <xf numFmtId="0" fontId="0" fillId="0" borderId="3" xfId="0" applyFont="1" applyBorder="1" applyAlignment="1"/>
    <xf numFmtId="0" fontId="0" fillId="0" borderId="3" xfId="0" applyFont="1" applyBorder="1" applyAlignment="1">
      <alignment horizontal="left"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0" fillId="0" borderId="3" xfId="0" applyFont="1" applyBorder="1" applyAlignment="1">
      <alignment horizontal="left" vertical="top" wrapText="1"/>
    </xf>
    <xf numFmtId="0" fontId="31" fillId="3" borderId="33" xfId="0" applyFont="1" applyFill="1" applyBorder="1" applyAlignment="1">
      <alignment horizontal="center" vertical="center"/>
    </xf>
    <xf numFmtId="0" fontId="31" fillId="3" borderId="31" xfId="0" applyFont="1" applyFill="1" applyBorder="1" applyAlignment="1">
      <alignment horizontal="center" vertical="center"/>
    </xf>
    <xf numFmtId="0" fontId="31" fillId="3" borderId="30"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32"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4" xfId="0" applyFont="1" applyBorder="1" applyAlignment="1">
      <alignment horizontal="center" vertical="center" wrapText="1"/>
    </xf>
    <xf numFmtId="0" fontId="47" fillId="15" borderId="28" xfId="3" applyFont="1" applyFill="1" applyBorder="1" applyAlignment="1">
      <alignment horizontal="center" vertical="center" wrapText="1"/>
    </xf>
    <xf numFmtId="0" fontId="47" fillId="15" borderId="0" xfId="3" applyFont="1" applyFill="1" applyBorder="1" applyAlignment="1">
      <alignment horizontal="center" vertical="center" wrapText="1"/>
    </xf>
    <xf numFmtId="0" fontId="24" fillId="14" borderId="28" xfId="0" applyFont="1" applyFill="1" applyBorder="1" applyAlignment="1">
      <alignment horizontal="center" vertical="center" wrapText="1"/>
    </xf>
    <xf numFmtId="0" fontId="24" fillId="14" borderId="0" xfId="0" applyFont="1" applyFill="1" applyBorder="1" applyAlignment="1">
      <alignment horizontal="center" vertical="center" wrapText="1"/>
    </xf>
    <xf numFmtId="0" fontId="24" fillId="14" borderId="29" xfId="0" applyFont="1" applyFill="1" applyBorder="1" applyAlignment="1">
      <alignment horizontal="center" vertical="center" wrapText="1"/>
    </xf>
    <xf numFmtId="0" fontId="47" fillId="15" borderId="29" xfId="3" applyFont="1" applyFill="1" applyBorder="1" applyAlignment="1">
      <alignment horizontal="center" vertical="center" wrapText="1"/>
    </xf>
    <xf numFmtId="0" fontId="24" fillId="14" borderId="30" xfId="0" applyFont="1" applyFill="1" applyBorder="1" applyAlignment="1">
      <alignment horizontal="center" vertical="center" wrapText="1"/>
    </xf>
    <xf numFmtId="0" fontId="24" fillId="14" borderId="31" xfId="0" applyFont="1" applyFill="1" applyBorder="1" applyAlignment="1">
      <alignment horizontal="center" vertical="center" wrapText="1"/>
    </xf>
    <xf numFmtId="0" fontId="24" fillId="14" borderId="34" xfId="0" applyFont="1" applyFill="1" applyBorder="1" applyAlignment="1">
      <alignment horizontal="center" vertical="center" wrapText="1"/>
    </xf>
    <xf numFmtId="0" fontId="47" fillId="15" borderId="35" xfId="3" applyFont="1" applyFill="1" applyBorder="1" applyAlignment="1">
      <alignment horizontal="center" vertical="center" wrapText="1"/>
    </xf>
    <xf numFmtId="0" fontId="47" fillId="15" borderId="36" xfId="3" applyFont="1" applyFill="1" applyBorder="1" applyAlignment="1">
      <alignment horizontal="center" vertical="center" wrapText="1"/>
    </xf>
    <xf numFmtId="0" fontId="47" fillId="15" borderId="30" xfId="3" applyFont="1" applyFill="1" applyBorder="1" applyAlignment="1">
      <alignment horizontal="center" vertical="center" wrapText="1"/>
    </xf>
    <xf numFmtId="0" fontId="47" fillId="15" borderId="31" xfId="3" applyFont="1" applyFill="1" applyBorder="1" applyAlignment="1">
      <alignment horizontal="center" vertical="center" wrapText="1"/>
    </xf>
    <xf numFmtId="0" fontId="32" fillId="0" borderId="28"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29" xfId="0" applyFont="1" applyBorder="1" applyAlignment="1">
      <alignment horizontal="center" vertical="center" wrapText="1"/>
    </xf>
    <xf numFmtId="0" fontId="24" fillId="14" borderId="35" xfId="0" applyFont="1" applyFill="1" applyBorder="1" applyAlignment="1">
      <alignment horizontal="center" vertical="center" wrapText="1"/>
    </xf>
    <xf numFmtId="0" fontId="24" fillId="14" borderId="36" xfId="0" applyFont="1" applyFill="1" applyBorder="1" applyAlignment="1">
      <alignment horizontal="center" vertical="center" wrapText="1"/>
    </xf>
    <xf numFmtId="0" fontId="24" fillId="14" borderId="37" xfId="0" applyFont="1" applyFill="1" applyBorder="1" applyAlignment="1">
      <alignment horizontal="center" vertical="center" wrapText="1"/>
    </xf>
    <xf numFmtId="0" fontId="0" fillId="0" borderId="0" xfId="0" applyFont="1" applyBorder="1" applyAlignment="1">
      <alignment horizontal="left" vertical="center"/>
    </xf>
    <xf numFmtId="0" fontId="0" fillId="0" borderId="0" xfId="0" applyNumberFormat="1" applyFont="1" applyBorder="1" applyAlignment="1">
      <alignment horizontal="left" vertical="center"/>
    </xf>
    <xf numFmtId="0" fontId="11" fillId="0" borderId="0" xfId="0" applyFont="1" applyBorder="1" applyAlignment="1">
      <alignment horizontal="left" vertical="center"/>
    </xf>
    <xf numFmtId="0" fontId="41" fillId="0" borderId="0" xfId="0" applyFont="1" applyFill="1" applyAlignment="1">
      <alignment horizontal="center" vertical="center"/>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47" fillId="15" borderId="34" xfId="3" applyFont="1" applyFill="1" applyBorder="1" applyAlignment="1">
      <alignment horizontal="center" vertical="center" wrapText="1"/>
    </xf>
    <xf numFmtId="0" fontId="32" fillId="0" borderId="3" xfId="0" applyFont="1" applyBorder="1" applyAlignment="1">
      <alignment horizontal="center" vertical="center"/>
    </xf>
    <xf numFmtId="0" fontId="31" fillId="3" borderId="38" xfId="0" applyFont="1" applyFill="1" applyBorder="1" applyAlignment="1">
      <alignment horizontal="center" vertical="center" wrapText="1"/>
    </xf>
    <xf numFmtId="0" fontId="48" fillId="0" borderId="38" xfId="3" applyFont="1" applyBorder="1" applyAlignment="1">
      <alignment horizontal="center" vertical="center"/>
    </xf>
    <xf numFmtId="0" fontId="11" fillId="0" borderId="3" xfId="0" applyFont="1" applyBorder="1" applyAlignment="1">
      <alignment horizontal="left" wrapText="1"/>
    </xf>
    <xf numFmtId="0" fontId="31" fillId="3" borderId="34" xfId="0" applyFont="1" applyFill="1" applyBorder="1" applyAlignment="1">
      <alignment horizontal="center" vertical="center"/>
    </xf>
    <xf numFmtId="0" fontId="50" fillId="0" borderId="3" xfId="0" applyFont="1" applyBorder="1" applyAlignment="1">
      <alignment horizontal="left" vertical="center" wrapText="1"/>
    </xf>
    <xf numFmtId="0" fontId="12" fillId="0" borderId="4" xfId="0" applyFont="1" applyBorder="1" applyAlignment="1">
      <alignment horizontal="center" vertical="center" textRotation="90" wrapText="1"/>
    </xf>
    <xf numFmtId="0" fontId="12" fillId="0" borderId="5" xfId="0" applyFont="1" applyBorder="1" applyAlignment="1">
      <alignment horizontal="center" vertical="center" textRotation="90" wrapText="1"/>
    </xf>
    <xf numFmtId="0" fontId="12" fillId="0" borderId="6" xfId="0" applyFont="1" applyBorder="1" applyAlignment="1">
      <alignment horizontal="center" vertical="center" textRotation="90" wrapText="1"/>
    </xf>
    <xf numFmtId="0" fontId="12" fillId="0" borderId="7" xfId="0" applyFont="1" applyBorder="1" applyAlignment="1">
      <alignment horizontal="center" vertical="center" textRotation="90" wrapText="1"/>
    </xf>
    <xf numFmtId="0" fontId="12" fillId="0" borderId="0"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12" fillId="0" borderId="9" xfId="0" applyFont="1" applyBorder="1" applyAlignment="1">
      <alignment horizontal="center" vertical="center" textRotation="90" wrapText="1"/>
    </xf>
    <xf numFmtId="0" fontId="12" fillId="0" borderId="1" xfId="0" applyFont="1" applyBorder="1" applyAlignment="1">
      <alignment horizontal="center" vertical="center" textRotation="90" wrapText="1"/>
    </xf>
    <xf numFmtId="0" fontId="12" fillId="0" borderId="10" xfId="0" applyFont="1" applyBorder="1" applyAlignment="1">
      <alignment horizontal="center" vertical="center" textRotation="90" wrapText="1"/>
    </xf>
    <xf numFmtId="0" fontId="92" fillId="0" borderId="0" xfId="0" applyFont="1" applyAlignment="1">
      <alignment horizontal="left" wrapText="1"/>
    </xf>
    <xf numFmtId="0" fontId="92" fillId="0" borderId="0" xfId="0" applyFont="1" applyAlignment="1">
      <alignment horizontal="left" vertical="center" wrapText="1"/>
    </xf>
    <xf numFmtId="185" fontId="19" fillId="4" borderId="3" xfId="0" applyNumberFormat="1" applyFont="1" applyFill="1" applyBorder="1" applyAlignment="1">
      <alignment horizontal="center"/>
    </xf>
    <xf numFmtId="0" fontId="76" fillId="0" borderId="3" xfId="0" applyFont="1" applyFill="1" applyBorder="1" applyAlignment="1">
      <alignment horizontal="left"/>
    </xf>
    <xf numFmtId="0" fontId="76" fillId="0" borderId="3" xfId="0" applyFont="1" applyFill="1" applyBorder="1" applyAlignment="1">
      <alignment horizontal="left" wrapText="1"/>
    </xf>
    <xf numFmtId="0" fontId="19" fillId="0" borderId="3" xfId="0" applyFont="1" applyBorder="1" applyAlignment="1">
      <alignment horizontal="right"/>
    </xf>
    <xf numFmtId="185" fontId="19" fillId="0" borderId="3" xfId="0" applyNumberFormat="1" applyFont="1" applyBorder="1" applyAlignment="1">
      <alignment horizontal="center"/>
    </xf>
    <xf numFmtId="0" fontId="19" fillId="0" borderId="3" xfId="0" applyFont="1" applyFill="1" applyBorder="1" applyAlignment="1">
      <alignment horizontal="right"/>
    </xf>
    <xf numFmtId="185" fontId="19" fillId="0" borderId="3" xfId="0" applyNumberFormat="1" applyFont="1" applyFill="1" applyBorder="1" applyAlignment="1">
      <alignment horizontal="center"/>
    </xf>
    <xf numFmtId="0" fontId="34" fillId="12" borderId="3" xfId="0" applyFont="1" applyFill="1" applyBorder="1" applyAlignment="1">
      <alignment horizontal="center" vertical="center" wrapText="1"/>
    </xf>
    <xf numFmtId="0" fontId="34" fillId="12" borderId="11" xfId="0" applyFont="1" applyFill="1" applyBorder="1" applyAlignment="1">
      <alignment horizontal="center" vertical="center" wrapText="1"/>
    </xf>
    <xf numFmtId="0" fontId="34" fillId="12" borderId="2" xfId="0" applyFont="1" applyFill="1" applyBorder="1" applyAlignment="1">
      <alignment horizontal="center" vertical="center" wrapText="1"/>
    </xf>
    <xf numFmtId="0" fontId="34" fillId="12" borderId="12" xfId="0" applyFont="1" applyFill="1" applyBorder="1" applyAlignment="1">
      <alignment horizontal="center" vertical="center" wrapText="1"/>
    </xf>
    <xf numFmtId="185" fontId="24" fillId="0" borderId="11" xfId="0" applyNumberFormat="1" applyFont="1" applyBorder="1" applyAlignment="1">
      <alignment horizontal="center"/>
    </xf>
    <xf numFmtId="185" fontId="24" fillId="0" borderId="2" xfId="0" applyNumberFormat="1" applyFont="1" applyBorder="1" applyAlignment="1">
      <alignment horizontal="center"/>
    </xf>
    <xf numFmtId="185" fontId="24" fillId="0" borderId="12" xfId="0" applyNumberFormat="1" applyFont="1" applyBorder="1" applyAlignment="1">
      <alignment horizontal="center"/>
    </xf>
    <xf numFmtId="0" fontId="24" fillId="0" borderId="11" xfId="0" applyFont="1" applyBorder="1" applyAlignment="1">
      <alignment horizontal="center"/>
    </xf>
    <xf numFmtId="0" fontId="24" fillId="0" borderId="2" xfId="0" applyFont="1" applyBorder="1" applyAlignment="1">
      <alignment horizontal="center"/>
    </xf>
    <xf numFmtId="0" fontId="24" fillId="0" borderId="12" xfId="0" applyFont="1" applyBorder="1" applyAlignment="1">
      <alignment horizontal="center"/>
    </xf>
    <xf numFmtId="185" fontId="19" fillId="4" borderId="11" xfId="0" applyNumberFormat="1" applyFont="1" applyFill="1" applyBorder="1" applyAlignment="1">
      <alignment horizontal="center"/>
    </xf>
    <xf numFmtId="185" fontId="19" fillId="4" borderId="12" xfId="0" applyNumberFormat="1" applyFont="1" applyFill="1" applyBorder="1" applyAlignment="1">
      <alignment horizontal="center"/>
    </xf>
    <xf numFmtId="0" fontId="19" fillId="0" borderId="11" xfId="0" applyFont="1" applyBorder="1" applyAlignment="1">
      <alignment horizontal="right"/>
    </xf>
    <xf numFmtId="0" fontId="19" fillId="0" borderId="2" xfId="0" applyFont="1" applyBorder="1" applyAlignment="1">
      <alignment horizontal="right"/>
    </xf>
    <xf numFmtId="0" fontId="19" fillId="0" borderId="12" xfId="0" applyFont="1" applyBorder="1" applyAlignment="1">
      <alignment horizontal="right"/>
    </xf>
    <xf numFmtId="0" fontId="19" fillId="4" borderId="11" xfId="0" applyFont="1" applyFill="1" applyBorder="1" applyAlignment="1">
      <alignment horizontal="right"/>
    </xf>
    <xf numFmtId="0" fontId="19" fillId="4" borderId="2" xfId="0" applyFont="1" applyFill="1" applyBorder="1" applyAlignment="1">
      <alignment horizontal="right"/>
    </xf>
    <xf numFmtId="0" fontId="19" fillId="4" borderId="12" xfId="0" applyFont="1" applyFill="1" applyBorder="1" applyAlignment="1">
      <alignment horizontal="right"/>
    </xf>
    <xf numFmtId="0" fontId="24" fillId="0" borderId="3" xfId="0" applyFont="1" applyBorder="1" applyAlignment="1">
      <alignment horizontal="center"/>
    </xf>
    <xf numFmtId="0" fontId="31" fillId="12" borderId="11" xfId="0" applyFont="1" applyFill="1" applyBorder="1" applyAlignment="1">
      <alignment horizontal="center" vertical="center" wrapText="1"/>
    </xf>
    <xf numFmtId="0" fontId="31" fillId="12" borderId="2" xfId="0" applyFont="1" applyFill="1" applyBorder="1" applyAlignment="1">
      <alignment horizontal="center" vertical="center" wrapText="1"/>
    </xf>
    <xf numFmtId="0" fontId="19" fillId="4" borderId="1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3" xfId="0" applyFont="1" applyFill="1" applyBorder="1" applyAlignment="1">
      <alignment horizontal="center" vertical="center"/>
    </xf>
    <xf numFmtId="0" fontId="31" fillId="12" borderId="3" xfId="0" applyFont="1" applyFill="1" applyBorder="1" applyAlignment="1">
      <alignment horizontal="center" vertical="center" wrapText="1"/>
    </xf>
    <xf numFmtId="185" fontId="24" fillId="0" borderId="3" xfId="0" applyNumberFormat="1" applyFont="1" applyBorder="1" applyAlignment="1">
      <alignment horizontal="center"/>
    </xf>
    <xf numFmtId="0" fontId="34" fillId="12" borderId="3" xfId="0" applyFont="1" applyFill="1" applyBorder="1" applyAlignment="1">
      <alignment horizontal="center" vertical="center"/>
    </xf>
    <xf numFmtId="0" fontId="19" fillId="4" borderId="3" xfId="0" applyFont="1" applyFill="1" applyBorder="1" applyAlignment="1">
      <alignment horizontal="right" wrapText="1"/>
    </xf>
    <xf numFmtId="0" fontId="82" fillId="12" borderId="3" xfId="0" applyFont="1" applyFill="1" applyBorder="1" applyAlignment="1">
      <alignment horizontal="center"/>
    </xf>
    <xf numFmtId="0" fontId="34" fillId="12" borderId="3" xfId="0" applyFont="1" applyFill="1" applyBorder="1" applyAlignment="1">
      <alignment horizontal="left" wrapText="1"/>
    </xf>
    <xf numFmtId="1" fontId="19" fillId="4" borderId="11" xfId="0" applyNumberFormat="1" applyFont="1" applyFill="1" applyBorder="1" applyAlignment="1">
      <alignment horizontal="center"/>
    </xf>
    <xf numFmtId="1" fontId="19" fillId="4" borderId="2" xfId="0" applyNumberFormat="1" applyFont="1" applyFill="1" applyBorder="1" applyAlignment="1">
      <alignment horizontal="center"/>
    </xf>
    <xf numFmtId="1" fontId="19" fillId="4" borderId="12" xfId="0" applyNumberFormat="1" applyFont="1" applyFill="1" applyBorder="1" applyAlignment="1">
      <alignment horizontal="center"/>
    </xf>
    <xf numFmtId="0" fontId="81" fillId="0" borderId="3" xfId="0" applyFont="1" applyBorder="1" applyAlignment="1">
      <alignment horizontal="center"/>
    </xf>
    <xf numFmtId="0" fontId="85" fillId="12" borderId="11" xfId="0" applyFont="1" applyFill="1" applyBorder="1" applyAlignment="1">
      <alignment horizontal="left"/>
    </xf>
    <xf numFmtId="0" fontId="85" fillId="12" borderId="2" xfId="0" applyFont="1" applyFill="1" applyBorder="1" applyAlignment="1">
      <alignment horizontal="left"/>
    </xf>
    <xf numFmtId="0" fontId="85" fillId="12" borderId="12" xfId="0" applyFont="1" applyFill="1" applyBorder="1" applyAlignment="1">
      <alignment horizontal="left"/>
    </xf>
    <xf numFmtId="0" fontId="84" fillId="12" borderId="3" xfId="0" applyFont="1" applyFill="1" applyBorder="1" applyAlignment="1">
      <alignment horizontal="left"/>
    </xf>
    <xf numFmtId="0" fontId="24" fillId="0" borderId="3" xfId="0" applyFont="1" applyBorder="1" applyAlignment="1">
      <alignment horizontal="left"/>
    </xf>
    <xf numFmtId="0" fontId="34" fillId="12" borderId="11" xfId="0" applyFont="1" applyFill="1" applyBorder="1" applyAlignment="1">
      <alignment horizontal="center"/>
    </xf>
    <xf numFmtId="0" fontId="34" fillId="12" borderId="2" xfId="0" applyFont="1" applyFill="1" applyBorder="1" applyAlignment="1">
      <alignment horizontal="center"/>
    </xf>
    <xf numFmtId="0" fontId="34" fillId="12" borderId="12" xfId="0" applyFont="1" applyFill="1" applyBorder="1" applyAlignment="1">
      <alignment horizontal="center"/>
    </xf>
    <xf numFmtId="0" fontId="24" fillId="0" borderId="3" xfId="0" applyFont="1" applyBorder="1" applyAlignment="1">
      <alignment horizontal="center" vertical="center"/>
    </xf>
    <xf numFmtId="0" fontId="19" fillId="0" borderId="0" xfId="0" applyFont="1" applyAlignment="1">
      <alignment horizontal="center" wrapText="1"/>
    </xf>
    <xf numFmtId="0" fontId="19" fillId="0" borderId="3" xfId="0" applyFont="1" applyBorder="1" applyAlignment="1">
      <alignment horizontal="center" vertical="center"/>
    </xf>
    <xf numFmtId="0" fontId="34" fillId="12" borderId="3" xfId="0" applyFont="1" applyFill="1" applyBorder="1" applyAlignment="1">
      <alignment horizontal="left"/>
    </xf>
    <xf numFmtId="0" fontId="84" fillId="12" borderId="11" xfId="0" applyFont="1" applyFill="1" applyBorder="1" applyAlignment="1">
      <alignment horizontal="left"/>
    </xf>
    <xf numFmtId="0" fontId="84" fillId="12" borderId="2" xfId="0" applyFont="1" applyFill="1" applyBorder="1" applyAlignment="1">
      <alignment horizontal="left"/>
    </xf>
    <xf numFmtId="0" fontId="84" fillId="12" borderId="12" xfId="0" applyFont="1" applyFill="1" applyBorder="1" applyAlignment="1">
      <alignment horizontal="left"/>
    </xf>
    <xf numFmtId="0" fontId="11" fillId="0" borderId="3" xfId="0" applyFont="1" applyBorder="1" applyAlignment="1">
      <alignment horizontal="left"/>
    </xf>
    <xf numFmtId="0" fontId="81" fillId="4" borderId="3" xfId="0" applyFont="1" applyFill="1" applyBorder="1" applyAlignment="1">
      <alignment horizontal="center" wrapText="1"/>
    </xf>
    <xf numFmtId="0" fontId="81" fillId="4" borderId="3" xfId="0" applyFont="1" applyFill="1" applyBorder="1" applyAlignment="1">
      <alignment horizontal="center"/>
    </xf>
    <xf numFmtId="0" fontId="20" fillId="0" borderId="0" xfId="0" applyFont="1" applyFill="1" applyAlignment="1">
      <alignment horizontal="center" vertical="center"/>
    </xf>
    <xf numFmtId="0" fontId="84" fillId="12" borderId="3" xfId="0" applyFont="1" applyFill="1" applyBorder="1" applyAlignment="1">
      <alignment horizontal="center"/>
    </xf>
    <xf numFmtId="0" fontId="88" fillId="0" borderId="0" xfId="0" applyFont="1" applyFill="1" applyAlignment="1">
      <alignment horizontal="center" vertical="center"/>
    </xf>
    <xf numFmtId="0" fontId="19" fillId="4" borderId="11" xfId="0" applyFont="1" applyFill="1" applyBorder="1" applyAlignment="1">
      <alignment horizontal="center"/>
    </xf>
    <xf numFmtId="0" fontId="19" fillId="4" borderId="2" xfId="0" applyFont="1" applyFill="1" applyBorder="1" applyAlignment="1">
      <alignment horizontal="center"/>
    </xf>
    <xf numFmtId="0" fontId="19" fillId="4" borderId="12" xfId="0" applyFont="1" applyFill="1" applyBorder="1" applyAlignment="1">
      <alignment horizontal="center"/>
    </xf>
    <xf numFmtId="0" fontId="34" fillId="12" borderId="3" xfId="0" applyFont="1" applyFill="1" applyBorder="1" applyAlignment="1">
      <alignment horizontal="center"/>
    </xf>
    <xf numFmtId="1" fontId="24" fillId="0" borderId="3" xfId="0" applyNumberFormat="1" applyFont="1" applyBorder="1" applyAlignment="1">
      <alignment horizontal="center"/>
    </xf>
    <xf numFmtId="0" fontId="31" fillId="12" borderId="3" xfId="0" applyFont="1" applyFill="1" applyBorder="1" applyAlignment="1">
      <alignment horizontal="center"/>
    </xf>
    <xf numFmtId="0" fontId="19" fillId="4" borderId="3" xfId="0" applyFont="1" applyFill="1" applyBorder="1" applyAlignment="1">
      <alignment horizontal="right"/>
    </xf>
    <xf numFmtId="0" fontId="83" fillId="0" borderId="3" xfId="0" applyFont="1" applyFill="1" applyBorder="1" applyAlignment="1">
      <alignment horizontal="left"/>
    </xf>
    <xf numFmtId="0" fontId="84" fillId="12" borderId="11" xfId="0" applyFont="1" applyFill="1" applyBorder="1" applyAlignment="1">
      <alignment horizontal="left" wrapText="1"/>
    </xf>
    <xf numFmtId="0" fontId="84" fillId="12" borderId="2" xfId="0" applyFont="1" applyFill="1" applyBorder="1" applyAlignment="1">
      <alignment horizontal="left" wrapText="1"/>
    </xf>
    <xf numFmtId="0" fontId="84" fillId="12" borderId="12" xfId="0" applyFont="1" applyFill="1" applyBorder="1" applyAlignment="1">
      <alignment horizontal="left" wrapText="1"/>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9" xfId="0" applyFont="1" applyBorder="1" applyAlignment="1">
      <alignment horizontal="left" vertical="center"/>
    </xf>
    <xf numFmtId="0" fontId="24" fillId="0" borderId="1" xfId="0" applyFont="1" applyBorder="1" applyAlignment="1">
      <alignment horizontal="left" vertical="center"/>
    </xf>
    <xf numFmtId="0" fontId="24" fillId="0" borderId="10" xfId="0" applyFont="1" applyBorder="1" applyAlignment="1">
      <alignment horizontal="left" vertical="center"/>
    </xf>
    <xf numFmtId="0" fontId="84" fillId="12" borderId="3" xfId="0" applyFont="1" applyFill="1" applyBorder="1" applyAlignment="1">
      <alignment horizontal="left" wrapText="1"/>
    </xf>
    <xf numFmtId="167" fontId="19" fillId="4" borderId="3" xfId="1" applyNumberFormat="1" applyFont="1" applyFill="1" applyBorder="1" applyAlignment="1">
      <alignment horizontal="center"/>
    </xf>
    <xf numFmtId="187" fontId="19" fillId="4" borderId="3" xfId="0" applyNumberFormat="1" applyFont="1" applyFill="1" applyBorder="1" applyAlignment="1">
      <alignment horizontal="center"/>
    </xf>
    <xf numFmtId="167" fontId="24" fillId="0" borderId="3" xfId="1" applyNumberFormat="1" applyFont="1" applyBorder="1" applyAlignment="1">
      <alignment horizontal="center"/>
    </xf>
    <xf numFmtId="186" fontId="19" fillId="4" borderId="3" xfId="0" applyNumberFormat="1" applyFont="1" applyFill="1" applyBorder="1" applyAlignment="1">
      <alignment horizontal="center"/>
    </xf>
    <xf numFmtId="0" fontId="34" fillId="12" borderId="7" xfId="0" applyFont="1" applyFill="1" applyBorder="1" applyAlignment="1">
      <alignment horizontal="center"/>
    </xf>
    <xf numFmtId="0" fontId="34" fillId="12" borderId="0" xfId="0" applyFont="1" applyFill="1" applyBorder="1" applyAlignment="1">
      <alignment horizontal="center"/>
    </xf>
    <xf numFmtId="0" fontId="34" fillId="12" borderId="8" xfId="0" applyFont="1" applyFill="1" applyBorder="1" applyAlignment="1">
      <alignment horizontal="center"/>
    </xf>
    <xf numFmtId="9" fontId="19" fillId="4" borderId="11" xfId="2" applyFont="1" applyFill="1" applyBorder="1" applyAlignment="1">
      <alignment horizontal="center"/>
    </xf>
    <xf numFmtId="9" fontId="19" fillId="4" borderId="2" xfId="2" applyFont="1" applyFill="1" applyBorder="1" applyAlignment="1">
      <alignment horizontal="center"/>
    </xf>
    <xf numFmtId="9" fontId="19" fillId="4" borderId="12" xfId="2" applyFont="1" applyFill="1" applyBorder="1" applyAlignment="1">
      <alignment horizontal="center"/>
    </xf>
    <xf numFmtId="9" fontId="24" fillId="0" borderId="3" xfId="2" applyFont="1" applyBorder="1" applyAlignment="1">
      <alignment horizontal="center"/>
    </xf>
    <xf numFmtId="173" fontId="24" fillId="0" borderId="3" xfId="2" applyNumberFormat="1" applyFont="1" applyBorder="1" applyAlignment="1">
      <alignment horizontal="center"/>
    </xf>
    <xf numFmtId="10" fontId="24" fillId="0" borderId="3" xfId="2" applyNumberFormat="1" applyFont="1" applyBorder="1" applyAlignment="1">
      <alignment horizontal="right"/>
    </xf>
    <xf numFmtId="188" fontId="24" fillId="0" borderId="3" xfId="1" applyNumberFormat="1" applyFont="1" applyBorder="1" applyAlignment="1">
      <alignment horizontal="right"/>
    </xf>
    <xf numFmtId="0" fontId="24" fillId="0" borderId="0" xfId="0" applyFont="1" applyAlignment="1">
      <alignment horizontal="center"/>
    </xf>
    <xf numFmtId="185" fontId="19" fillId="4" borderId="2" xfId="0" applyNumberFormat="1" applyFont="1" applyFill="1" applyBorder="1" applyAlignment="1">
      <alignment horizontal="center"/>
    </xf>
    <xf numFmtId="167" fontId="24" fillId="0" borderId="3" xfId="1" applyNumberFormat="1" applyFont="1" applyBorder="1" applyAlignment="1">
      <alignment horizontal="right"/>
    </xf>
    <xf numFmtId="173" fontId="19" fillId="4" borderId="3" xfId="2" applyNumberFormat="1" applyFont="1" applyFill="1" applyBorder="1" applyAlignment="1">
      <alignment horizontal="center"/>
    </xf>
    <xf numFmtId="188" fontId="24" fillId="0" borderId="3" xfId="1" applyNumberFormat="1" applyFont="1" applyBorder="1" applyAlignment="1">
      <alignment horizontal="center"/>
    </xf>
    <xf numFmtId="0" fontId="28" fillId="0" borderId="0" xfId="3" applyBorder="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41" fillId="5" borderId="0" xfId="0" applyFont="1" applyFill="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32" fillId="4" borderId="11"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12" xfId="0" applyFont="1" applyFill="1" applyBorder="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29" fillId="3" borderId="21" xfId="0" applyFont="1" applyFill="1" applyBorder="1" applyAlignment="1" applyProtection="1">
      <alignment horizontal="center" vertical="center"/>
      <protection locked="0"/>
    </xf>
    <xf numFmtId="0" fontId="29" fillId="3" borderId="22" xfId="0" applyFont="1" applyFill="1" applyBorder="1" applyAlignment="1" applyProtection="1">
      <alignment horizontal="center" vertical="center"/>
      <protection locked="0"/>
    </xf>
    <xf numFmtId="0" fontId="29" fillId="3" borderId="23" xfId="0" applyFont="1" applyFill="1" applyBorder="1" applyAlignment="1" applyProtection="1">
      <alignment horizontal="center" vertical="center"/>
      <protection locked="0"/>
    </xf>
    <xf numFmtId="0" fontId="29" fillId="3" borderId="0" xfId="0" applyFont="1" applyFill="1" applyBorder="1" applyAlignment="1" applyProtection="1">
      <alignment horizontal="center" vertical="center"/>
      <protection locked="0"/>
    </xf>
    <xf numFmtId="0" fontId="29" fillId="3" borderId="24" xfId="0" applyFont="1" applyFill="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1" fillId="5" borderId="11" xfId="0" applyFont="1" applyFill="1" applyBorder="1" applyAlignment="1" applyProtection="1">
      <alignment horizontal="center" vertical="top"/>
      <protection locked="0"/>
    </xf>
    <xf numFmtId="0" fontId="1" fillId="5" borderId="12" xfId="0" applyFont="1" applyFill="1" applyBorder="1" applyAlignment="1" applyProtection="1">
      <alignment horizontal="center" vertical="top"/>
      <protection locked="0"/>
    </xf>
    <xf numFmtId="9" fontId="0" fillId="0" borderId="3" xfId="2" applyFont="1" applyBorder="1" applyAlignment="1" applyProtection="1">
      <alignment horizontal="center" vertical="center"/>
    </xf>
    <xf numFmtId="173" fontId="0" fillId="2" borderId="11" xfId="2" applyNumberFormat="1" applyFont="1" applyFill="1" applyBorder="1" applyAlignment="1" applyProtection="1">
      <alignment horizontal="center" vertical="center"/>
      <protection locked="0"/>
    </xf>
    <xf numFmtId="173" fontId="0" fillId="2" borderId="12" xfId="2" applyNumberFormat="1" applyFont="1" applyFill="1" applyBorder="1" applyAlignment="1" applyProtection="1">
      <alignment horizontal="center" vertical="center"/>
      <protection locked="0"/>
    </xf>
    <xf numFmtId="9" fontId="0" fillId="0" borderId="11" xfId="2" applyFont="1" applyFill="1" applyBorder="1" applyAlignment="1" applyProtection="1">
      <alignment horizontal="center" vertical="center"/>
    </xf>
    <xf numFmtId="9" fontId="0" fillId="0" borderId="12" xfId="2" applyFont="1" applyFill="1" applyBorder="1" applyAlignment="1" applyProtection="1">
      <alignment horizontal="center" vertical="center"/>
    </xf>
    <xf numFmtId="0" fontId="1" fillId="10" borderId="3" xfId="0" applyFont="1" applyFill="1" applyBorder="1" applyAlignment="1" applyProtection="1">
      <alignment horizontal="center" vertical="center"/>
      <protection locked="0"/>
    </xf>
    <xf numFmtId="0" fontId="28" fillId="10" borderId="3" xfId="3" applyFill="1" applyBorder="1" applyAlignment="1" applyProtection="1">
      <alignment horizontal="center" vertical="center" wrapText="1"/>
      <protection locked="0"/>
    </xf>
    <xf numFmtId="0" fontId="0" fillId="0" borderId="0" xfId="0"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8" fillId="3" borderId="3" xfId="0" applyFont="1" applyFill="1" applyBorder="1" applyAlignment="1">
      <alignment horizontal="center" vertical="center"/>
    </xf>
    <xf numFmtId="0" fontId="1" fillId="0" borderId="11" xfId="0" applyFont="1" applyBorder="1" applyAlignment="1">
      <alignment horizontal="center"/>
    </xf>
    <xf numFmtId="0" fontId="1" fillId="0" borderId="12" xfId="0" applyFont="1" applyBorder="1" applyAlignment="1">
      <alignment horizontal="center"/>
    </xf>
    <xf numFmtId="0" fontId="0" fillId="0" borderId="3" xfId="0" applyBorder="1" applyAlignment="1">
      <alignment horizontal="center" vertical="center"/>
    </xf>
    <xf numFmtId="0" fontId="0" fillId="0" borderId="3" xfId="0" applyBorder="1" applyAlignment="1">
      <alignment horizontal="center"/>
    </xf>
    <xf numFmtId="180" fontId="0" fillId="2" borderId="11" xfId="1" applyNumberFormat="1" applyFont="1" applyFill="1" applyBorder="1" applyAlignment="1" applyProtection="1">
      <alignment horizontal="center" vertical="center"/>
      <protection locked="0"/>
    </xf>
    <xf numFmtId="180" fontId="0" fillId="2" borderId="12" xfId="1" applyNumberFormat="1" applyFont="1" applyFill="1" applyBorder="1" applyAlignment="1" applyProtection="1">
      <alignment horizontal="center" vertical="center"/>
      <protection locked="0"/>
    </xf>
    <xf numFmtId="180" fontId="1" fillId="6" borderId="11" xfId="0" applyNumberFormat="1" applyFont="1" applyFill="1" applyBorder="1" applyAlignment="1" applyProtection="1">
      <alignment horizontal="center" vertical="center"/>
      <protection locked="0"/>
    </xf>
    <xf numFmtId="180" fontId="1" fillId="6" borderId="12" xfId="0" applyNumberFormat="1" applyFont="1" applyFill="1" applyBorder="1" applyAlignment="1" applyProtection="1">
      <alignment horizontal="center" vertical="center"/>
      <protection locked="0"/>
    </xf>
    <xf numFmtId="175" fontId="0" fillId="0" borderId="11" xfId="1" applyNumberFormat="1" applyFont="1" applyFill="1" applyBorder="1" applyAlignment="1" applyProtection="1">
      <alignment horizontal="center" vertical="center"/>
    </xf>
    <xf numFmtId="175" fontId="0" fillId="0" borderId="2" xfId="1" applyNumberFormat="1" applyFont="1" applyFill="1" applyBorder="1" applyAlignment="1" applyProtection="1">
      <alignment horizontal="center" vertical="center"/>
    </xf>
    <xf numFmtId="175" fontId="0" fillId="0" borderId="12" xfId="1" applyNumberFormat="1" applyFont="1" applyFill="1" applyBorder="1" applyAlignment="1" applyProtection="1">
      <alignment horizontal="center" vertical="center"/>
    </xf>
    <xf numFmtId="0" fontId="23" fillId="9" borderId="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0" xfId="0" applyBorder="1" applyAlignment="1" applyProtection="1">
      <alignment horizontal="left" vertical="center" wrapText="1"/>
    </xf>
    <xf numFmtId="0" fontId="0" fillId="0" borderId="8" xfId="0" applyBorder="1" applyAlignment="1" applyProtection="1">
      <alignment horizontal="left" vertical="center" wrapText="1"/>
    </xf>
    <xf numFmtId="0" fontId="23" fillId="9" borderId="7" xfId="0" applyFont="1" applyFill="1" applyBorder="1" applyAlignment="1" applyProtection="1">
      <alignment horizontal="center" vertical="center" wrapText="1"/>
      <protection locked="0"/>
    </xf>
    <xf numFmtId="0" fontId="23" fillId="9" borderId="0" xfId="0" applyFont="1" applyFill="1" applyBorder="1" applyAlignment="1" applyProtection="1">
      <alignment horizontal="center" vertical="center" wrapText="1"/>
      <protection locked="0"/>
    </xf>
    <xf numFmtId="0" fontId="23" fillId="9" borderId="8"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xf>
    <xf numFmtId="0" fontId="25" fillId="0" borderId="3" xfId="0" applyFont="1" applyBorder="1" applyAlignment="1" applyProtection="1">
      <alignment horizontal="left" vertical="center"/>
    </xf>
    <xf numFmtId="166" fontId="23" fillId="9" borderId="3" xfId="1" applyFont="1" applyFill="1" applyBorder="1" applyAlignment="1" applyProtection="1">
      <alignment horizontal="center" vertical="center" wrapText="1"/>
      <protection locked="0"/>
    </xf>
    <xf numFmtId="0" fontId="23" fillId="9" borderId="11" xfId="0" applyFont="1" applyFill="1" applyBorder="1" applyAlignment="1" applyProtection="1">
      <alignment horizontal="center" vertical="center" wrapText="1"/>
      <protection locked="0"/>
    </xf>
    <xf numFmtId="0" fontId="23" fillId="9" borderId="1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28" fillId="0" borderId="0" xfId="3" applyBorder="1" applyAlignment="1" applyProtection="1">
      <alignment horizontal="left" vertical="center"/>
      <protection locked="0"/>
    </xf>
    <xf numFmtId="0" fontId="9" fillId="5" borderId="0" xfId="0" applyFont="1" applyFill="1" applyAlignment="1" applyProtection="1">
      <alignment horizontal="center" vertical="center"/>
      <protection locked="0"/>
    </xf>
    <xf numFmtId="0" fontId="19" fillId="4" borderId="11"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1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0" fillId="0" borderId="11"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18" fillId="3" borderId="3"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176" fontId="0" fillId="0" borderId="3" xfId="1" applyNumberFormat="1" applyFont="1" applyFill="1" applyBorder="1" applyAlignment="1" applyProtection="1">
      <alignment horizontal="center" vertical="center"/>
    </xf>
    <xf numFmtId="9" fontId="0" fillId="5" borderId="11" xfId="2" applyFont="1" applyFill="1" applyBorder="1" applyAlignment="1" applyProtection="1">
      <alignment horizontal="center" vertical="center" wrapText="1"/>
      <protection locked="0"/>
    </xf>
    <xf numFmtId="9" fontId="0" fillId="5" borderId="2" xfId="2" applyFont="1" applyFill="1" applyBorder="1" applyAlignment="1" applyProtection="1">
      <alignment horizontal="center" vertical="center" wrapText="1"/>
      <protection locked="0"/>
    </xf>
    <xf numFmtId="9" fontId="0" fillId="5" borderId="12" xfId="2" applyFont="1" applyFill="1" applyBorder="1" applyAlignment="1" applyProtection="1">
      <alignment horizontal="center" vertical="center" wrapText="1"/>
      <protection locked="0"/>
    </xf>
    <xf numFmtId="176" fontId="0" fillId="8" borderId="11" xfId="1" applyNumberFormat="1" applyFont="1" applyFill="1" applyBorder="1" applyAlignment="1" applyProtection="1">
      <alignment horizontal="center" vertical="center"/>
    </xf>
    <xf numFmtId="176" fontId="0" fillId="8" borderId="2" xfId="1" applyNumberFormat="1" applyFont="1" applyFill="1" applyBorder="1" applyAlignment="1" applyProtection="1">
      <alignment horizontal="center" vertical="center"/>
    </xf>
    <xf numFmtId="176" fontId="0" fillId="8" borderId="12" xfId="1" applyNumberFormat="1" applyFont="1" applyFill="1" applyBorder="1" applyAlignment="1" applyProtection="1">
      <alignment horizontal="center" vertical="center"/>
    </xf>
    <xf numFmtId="0" fontId="23" fillId="9" borderId="9"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center" vertical="center" wrapText="1"/>
      <protection locked="0"/>
    </xf>
    <xf numFmtId="0" fontId="23" fillId="9" borderId="10" xfId="0" applyFont="1" applyFill="1" applyBorder="1" applyAlignment="1" applyProtection="1">
      <alignment horizontal="center" vertical="center" wrapText="1"/>
      <protection locked="0"/>
    </xf>
    <xf numFmtId="0" fontId="23" fillId="17" borderId="39" xfId="5" applyAlignment="1" applyProtection="1">
      <alignment horizontal="center" vertical="center"/>
      <protection locked="0"/>
    </xf>
    <xf numFmtId="0" fontId="0" fillId="5" borderId="11"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23" fillId="9" borderId="2" xfId="0" applyFont="1" applyFill="1" applyBorder="1" applyAlignment="1" applyProtection="1">
      <alignment horizontal="center" vertical="center" wrapText="1"/>
      <protection locked="0"/>
    </xf>
    <xf numFmtId="176" fontId="0" fillId="5" borderId="11" xfId="1" applyNumberFormat="1" applyFont="1" applyFill="1" applyBorder="1" applyAlignment="1" applyProtection="1">
      <alignment horizontal="center" vertical="center" wrapText="1"/>
      <protection locked="0"/>
    </xf>
    <xf numFmtId="176" fontId="0" fillId="5" borderId="2" xfId="1" applyNumberFormat="1" applyFont="1" applyFill="1" applyBorder="1" applyAlignment="1" applyProtection="1">
      <alignment horizontal="center" vertical="center" wrapText="1"/>
      <protection locked="0"/>
    </xf>
    <xf numFmtId="176" fontId="0" fillId="5" borderId="12" xfId="1" applyNumberFormat="1" applyFont="1" applyFill="1" applyBorder="1" applyAlignment="1" applyProtection="1">
      <alignment horizontal="center" vertical="center" wrapText="1"/>
      <protection locked="0"/>
    </xf>
    <xf numFmtId="0" fontId="0" fillId="0" borderId="11" xfId="0" applyBorder="1" applyAlignment="1" applyProtection="1">
      <alignment horizontal="left" vertical="center"/>
    </xf>
    <xf numFmtId="0" fontId="0" fillId="0" borderId="2" xfId="0" applyBorder="1" applyAlignment="1" applyProtection="1">
      <alignment horizontal="left" vertical="center"/>
    </xf>
    <xf numFmtId="0" fontId="0" fillId="0" borderId="12" xfId="0" applyBorder="1" applyAlignment="1" applyProtection="1">
      <alignment horizontal="left" vertical="center"/>
    </xf>
    <xf numFmtId="0" fontId="28" fillId="0" borderId="0" xfId="3" applyFill="1" applyBorder="1" applyAlignment="1" applyProtection="1">
      <alignment horizontal="center" vertical="center" wrapText="1"/>
      <protection locked="0"/>
    </xf>
    <xf numFmtId="0" fontId="0" fillId="0" borderId="11" xfId="0" applyFill="1" applyBorder="1" applyAlignment="1" applyProtection="1">
      <alignment horizontal="left" vertical="center"/>
    </xf>
    <xf numFmtId="0" fontId="0" fillId="0" borderId="2" xfId="0" applyFill="1" applyBorder="1" applyAlignment="1" applyProtection="1">
      <alignment horizontal="left" vertical="center"/>
    </xf>
    <xf numFmtId="0" fontId="0" fillId="0" borderId="12" xfId="0" applyFill="1" applyBorder="1" applyAlignment="1" applyProtection="1">
      <alignment horizontal="left" vertical="center"/>
    </xf>
    <xf numFmtId="180" fontId="0" fillId="5" borderId="11" xfId="1" applyNumberFormat="1" applyFont="1" applyFill="1" applyBorder="1" applyAlignment="1" applyProtection="1">
      <alignment horizontal="center" vertical="center" wrapText="1"/>
      <protection locked="0"/>
    </xf>
    <xf numFmtId="180" fontId="0" fillId="5" borderId="2" xfId="1" applyNumberFormat="1" applyFont="1" applyFill="1" applyBorder="1" applyAlignment="1" applyProtection="1">
      <alignment horizontal="center" vertical="center" wrapText="1"/>
      <protection locked="0"/>
    </xf>
    <xf numFmtId="180" fontId="0" fillId="5" borderId="12" xfId="1" applyNumberFormat="1" applyFont="1" applyFill="1" applyBorder="1" applyAlignment="1" applyProtection="1">
      <alignment horizontal="center" vertical="center" wrapText="1"/>
      <protection locked="0"/>
    </xf>
    <xf numFmtId="176" fontId="0" fillId="5" borderId="11" xfId="1" applyNumberFormat="1" applyFont="1" applyFill="1" applyBorder="1" applyAlignment="1" applyProtection="1">
      <alignment horizontal="center" vertical="center"/>
      <protection locked="0"/>
    </xf>
    <xf numFmtId="176" fontId="0" fillId="5" borderId="12" xfId="1" applyNumberFormat="1" applyFont="1" applyFill="1" applyBorder="1" applyAlignment="1" applyProtection="1">
      <alignment horizontal="center" vertical="center"/>
      <protection locked="0"/>
    </xf>
    <xf numFmtId="176" fontId="0" fillId="0" borderId="11" xfId="1" applyNumberFormat="1" applyFont="1" applyFill="1" applyBorder="1" applyAlignment="1" applyProtection="1">
      <alignment horizontal="center" vertical="center"/>
    </xf>
    <xf numFmtId="176" fontId="0" fillId="0" borderId="12" xfId="1" applyNumberFormat="1" applyFont="1" applyFill="1" applyBorder="1" applyAlignment="1" applyProtection="1">
      <alignment horizontal="center" vertical="center"/>
    </xf>
    <xf numFmtId="0" fontId="23" fillId="9" borderId="9" xfId="0" applyFont="1" applyFill="1" applyBorder="1" applyAlignment="1" applyProtection="1">
      <alignment horizontal="center" vertical="center"/>
      <protection locked="0"/>
    </xf>
    <xf numFmtId="0" fontId="23" fillId="9" borderId="1" xfId="0" applyFont="1" applyFill="1" applyBorder="1" applyAlignment="1" applyProtection="1">
      <alignment horizontal="center" vertical="center"/>
      <protection locked="0"/>
    </xf>
    <xf numFmtId="0" fontId="23" fillId="9" borderId="10" xfId="0" applyFont="1" applyFill="1" applyBorder="1" applyAlignment="1" applyProtection="1">
      <alignment horizontal="center" vertical="center"/>
      <protection locked="0"/>
    </xf>
    <xf numFmtId="0" fontId="23" fillId="9" borderId="3" xfId="0" applyFont="1" applyFill="1" applyBorder="1" applyAlignment="1" applyProtection="1">
      <alignment horizontal="center" vertical="center"/>
      <protection locked="0"/>
    </xf>
    <xf numFmtId="177" fontId="0" fillId="2" borderId="11" xfId="1" applyNumberFormat="1" applyFont="1" applyFill="1" applyBorder="1" applyAlignment="1" applyProtection="1">
      <alignment horizontal="center" vertical="center"/>
      <protection locked="0"/>
    </xf>
    <xf numFmtId="177" fontId="0" fillId="2" borderId="12" xfId="1" applyNumberFormat="1" applyFont="1" applyFill="1" applyBorder="1" applyAlignment="1" applyProtection="1">
      <alignment horizontal="center" vertical="center"/>
      <protection locked="0"/>
    </xf>
    <xf numFmtId="0" fontId="0" fillId="0" borderId="3" xfId="0" applyBorder="1" applyAlignment="1" applyProtection="1">
      <alignment horizontal="center" vertical="center" wrapText="1"/>
    </xf>
    <xf numFmtId="0" fontId="23" fillId="9" borderId="11" xfId="0" applyFont="1" applyFill="1" applyBorder="1" applyAlignment="1" applyProtection="1">
      <alignment horizontal="center" vertical="center"/>
      <protection locked="0"/>
    </xf>
    <xf numFmtId="0" fontId="23" fillId="9" borderId="12" xfId="0" applyFont="1" applyFill="1" applyBorder="1" applyAlignment="1" applyProtection="1">
      <alignment horizontal="center" vertical="center"/>
      <protection locked="0"/>
    </xf>
    <xf numFmtId="0" fontId="23" fillId="9" borderId="2" xfId="0" applyFont="1" applyFill="1" applyBorder="1" applyAlignment="1" applyProtection="1">
      <alignment horizontal="center" vertical="center"/>
      <protection locked="0"/>
    </xf>
    <xf numFmtId="0" fontId="28" fillId="0" borderId="11" xfId="3" applyBorder="1" applyAlignment="1" applyProtection="1">
      <alignment horizontal="center" vertical="center"/>
      <protection locked="0"/>
    </xf>
    <xf numFmtId="0" fontId="28" fillId="0" borderId="2" xfId="3" applyBorder="1" applyAlignment="1" applyProtection="1">
      <alignment horizontal="center" vertical="center"/>
      <protection locked="0"/>
    </xf>
    <xf numFmtId="0" fontId="28" fillId="0" borderId="12" xfId="3" applyBorder="1" applyAlignment="1" applyProtection="1">
      <alignment horizontal="center" vertical="center"/>
      <protection locked="0"/>
    </xf>
    <xf numFmtId="0" fontId="17" fillId="0" borderId="3" xfId="0" applyFont="1" applyBorder="1" applyAlignment="1" applyProtection="1">
      <alignment horizontal="center" vertical="center" wrapText="1"/>
    </xf>
    <xf numFmtId="0" fontId="28" fillId="0" borderId="3" xfId="3" applyBorder="1" applyAlignment="1" applyProtection="1">
      <alignment horizontal="left" vertical="center"/>
      <protection locked="0"/>
    </xf>
    <xf numFmtId="0" fontId="0" fillId="0" borderId="3" xfId="0" applyBorder="1" applyAlignment="1" applyProtection="1">
      <alignment horizontal="center" vertical="center"/>
    </xf>
    <xf numFmtId="0" fontId="0" fillId="0" borderId="3" xfId="0" applyFill="1" applyBorder="1" applyAlignment="1" applyProtection="1">
      <alignment horizontal="left" vertical="center"/>
    </xf>
    <xf numFmtId="0" fontId="13" fillId="9" borderId="3" xfId="0" applyFont="1" applyFill="1" applyBorder="1" applyAlignment="1" applyProtection="1">
      <alignment horizontal="center" vertical="center"/>
      <protection locked="0"/>
    </xf>
    <xf numFmtId="0" fontId="23" fillId="9" borderId="4" xfId="0" applyFont="1" applyFill="1" applyBorder="1" applyAlignment="1" applyProtection="1">
      <alignment horizontal="center" vertical="center" wrapText="1"/>
      <protection locked="0"/>
    </xf>
    <xf numFmtId="0" fontId="23" fillId="9" borderId="6" xfId="0" applyFont="1" applyFill="1" applyBorder="1" applyAlignment="1" applyProtection="1">
      <alignment horizontal="center" vertical="center" wrapText="1"/>
      <protection locked="0"/>
    </xf>
    <xf numFmtId="0" fontId="28" fillId="0" borderId="0" xfId="3" applyBorder="1" applyAlignment="1" applyProtection="1">
      <alignment horizontal="left" vertical="center" wrapText="1"/>
      <protection locked="0"/>
    </xf>
    <xf numFmtId="178" fontId="0" fillId="5" borderId="11" xfId="1" applyNumberFormat="1" applyFont="1" applyFill="1" applyBorder="1" applyAlignment="1" applyProtection="1">
      <alignment horizontal="center" vertical="center"/>
      <protection locked="0"/>
    </xf>
    <xf numFmtId="178" fontId="0" fillId="5" borderId="12" xfId="1" applyNumberFormat="1" applyFont="1" applyFill="1" applyBorder="1" applyAlignment="1" applyProtection="1">
      <alignment horizontal="center" vertical="center"/>
      <protection locked="0"/>
    </xf>
    <xf numFmtId="179" fontId="0" fillId="5" borderId="11" xfId="1" applyNumberFormat="1" applyFont="1" applyFill="1" applyBorder="1" applyAlignment="1" applyProtection="1">
      <alignment horizontal="center" vertical="center"/>
      <protection locked="0"/>
    </xf>
    <xf numFmtId="179" fontId="0" fillId="5" borderId="12" xfId="1" applyNumberFormat="1" applyFont="1" applyFill="1" applyBorder="1" applyAlignment="1" applyProtection="1">
      <alignment horizontal="center" vertical="center"/>
      <protection locked="0"/>
    </xf>
    <xf numFmtId="0" fontId="17" fillId="0" borderId="3" xfId="0" applyFont="1" applyFill="1" applyBorder="1" applyAlignment="1" applyProtection="1">
      <alignment horizontal="left" vertical="center"/>
    </xf>
    <xf numFmtId="0" fontId="17" fillId="0" borderId="0" xfId="0" applyFont="1" applyFill="1" applyBorder="1" applyAlignment="1" applyProtection="1">
      <alignment horizontal="left" vertical="center" wrapText="1"/>
      <protection locked="0"/>
    </xf>
    <xf numFmtId="0" fontId="17" fillId="0" borderId="8" xfId="0" applyFont="1" applyFill="1" applyBorder="1" applyAlignment="1" applyProtection="1">
      <alignment horizontal="left" vertical="center" wrapText="1"/>
      <protection locked="0"/>
    </xf>
    <xf numFmtId="0" fontId="0" fillId="5" borderId="13"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174" fontId="0" fillId="0" borderId="9" xfId="1" applyNumberFormat="1" applyFont="1" applyFill="1" applyBorder="1" applyAlignment="1" applyProtection="1">
      <alignment horizontal="center" vertical="center" wrapText="1"/>
    </xf>
    <xf numFmtId="174" fontId="0" fillId="0" borderId="10" xfId="1" applyNumberFormat="1" applyFont="1" applyFill="1" applyBorder="1" applyAlignment="1" applyProtection="1">
      <alignment horizontal="center" vertical="center" wrapText="1"/>
    </xf>
    <xf numFmtId="0" fontId="23" fillId="3" borderId="11" xfId="0"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23" fillId="3" borderId="2" xfId="0" applyFont="1" applyFill="1" applyBorder="1" applyAlignment="1" applyProtection="1">
      <alignment horizontal="center" vertical="center"/>
      <protection locked="0"/>
    </xf>
    <xf numFmtId="166" fontId="0" fillId="0" borderId="3" xfId="1" applyFont="1" applyFill="1" applyBorder="1" applyAlignment="1" applyProtection="1">
      <alignment horizontal="center" vertical="center" wrapText="1"/>
    </xf>
    <xf numFmtId="2" fontId="0" fillId="0" borderId="11" xfId="0" applyNumberFormat="1" applyFill="1" applyBorder="1" applyAlignment="1" applyProtection="1">
      <alignment horizontal="center" vertical="center" wrapText="1"/>
    </xf>
    <xf numFmtId="2" fontId="0" fillId="0" borderId="12" xfId="0" applyNumberFormat="1" applyFill="1" applyBorder="1" applyAlignment="1" applyProtection="1">
      <alignment horizontal="center" vertical="center" wrapText="1"/>
    </xf>
    <xf numFmtId="167" fontId="0" fillId="0" borderId="11" xfId="1" applyNumberFormat="1" applyFont="1" applyFill="1" applyBorder="1" applyAlignment="1" applyProtection="1">
      <alignment horizontal="center" vertical="center" wrapText="1"/>
    </xf>
    <xf numFmtId="167" fontId="0" fillId="0" borderId="12" xfId="1" applyNumberFormat="1" applyFont="1" applyFill="1" applyBorder="1" applyAlignment="1" applyProtection="1">
      <alignment horizontal="center" vertical="center" wrapText="1"/>
    </xf>
    <xf numFmtId="9" fontId="0" fillId="0" borderId="11" xfId="2" applyFont="1" applyFill="1" applyBorder="1" applyAlignment="1" applyProtection="1">
      <alignment horizontal="center" vertical="center" wrapText="1"/>
    </xf>
    <xf numFmtId="9" fontId="0" fillId="0" borderId="12" xfId="2"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protection locked="0"/>
    </xf>
    <xf numFmtId="2" fontId="0" fillId="0" borderId="11" xfId="1" applyNumberFormat="1" applyFont="1" applyFill="1" applyBorder="1" applyAlignment="1" applyProtection="1">
      <alignment horizontal="center" vertical="center" wrapText="1"/>
    </xf>
    <xf numFmtId="2" fontId="0" fillId="0" borderId="12" xfId="1" applyNumberFormat="1" applyFont="1" applyFill="1" applyBorder="1" applyAlignment="1" applyProtection="1">
      <alignment horizontal="center" vertical="center" wrapText="1"/>
    </xf>
    <xf numFmtId="166" fontId="0" fillId="0" borderId="11" xfId="1" applyFont="1" applyFill="1" applyBorder="1" applyAlignment="1" applyProtection="1">
      <alignment horizontal="right" vertical="center" wrapText="1"/>
    </xf>
    <xf numFmtId="166" fontId="0" fillId="0" borderId="12" xfId="1" applyFont="1" applyFill="1" applyBorder="1" applyAlignment="1" applyProtection="1">
      <alignment horizontal="right" vertical="center" wrapText="1"/>
    </xf>
    <xf numFmtId="174" fontId="0" fillId="0" borderId="11" xfId="1" applyNumberFormat="1" applyFont="1" applyFill="1" applyBorder="1" applyAlignment="1" applyProtection="1">
      <alignment horizontal="center" vertical="center" wrapText="1"/>
    </xf>
    <xf numFmtId="174" fontId="0" fillId="0" borderId="12" xfId="1" applyNumberFormat="1" applyFont="1" applyFill="1" applyBorder="1" applyAlignment="1" applyProtection="1">
      <alignment horizontal="center" vertical="center" wrapText="1"/>
    </xf>
    <xf numFmtId="0" fontId="28" fillId="0" borderId="11" xfId="3" applyBorder="1" applyAlignment="1" applyProtection="1">
      <alignment horizontal="center" vertical="center" wrapText="1"/>
      <protection locked="0"/>
    </xf>
    <xf numFmtId="0" fontId="28" fillId="0" borderId="12" xfId="3" applyBorder="1" applyAlignment="1" applyProtection="1">
      <alignment horizontal="center" vertical="center" wrapText="1"/>
      <protection locked="0"/>
    </xf>
    <xf numFmtId="0" fontId="28" fillId="0" borderId="3" xfId="3" applyBorder="1" applyAlignment="1" applyProtection="1">
      <alignment horizontal="center" vertical="center" wrapText="1"/>
      <protection locked="0"/>
    </xf>
    <xf numFmtId="177" fontId="0" fillId="5" borderId="3" xfId="7" applyNumberFormat="1" applyFont="1" applyFill="1" applyBorder="1" applyAlignment="1" applyProtection="1">
      <alignment horizontal="center" vertical="center"/>
      <protection locked="0"/>
    </xf>
    <xf numFmtId="177" fontId="0" fillId="5" borderId="3" xfId="0" applyNumberFormat="1" applyFill="1" applyBorder="1" applyAlignment="1" applyProtection="1">
      <alignment horizontal="center" vertical="center"/>
      <protection locked="0"/>
    </xf>
    <xf numFmtId="179" fontId="0" fillId="5" borderId="11" xfId="7" applyNumberFormat="1" applyFont="1" applyFill="1" applyBorder="1" applyAlignment="1" applyProtection="1">
      <alignment horizontal="center" vertical="center"/>
      <protection locked="0"/>
    </xf>
    <xf numFmtId="179" fontId="0" fillId="5" borderId="12" xfId="7" applyNumberFormat="1" applyFont="1"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8" borderId="11" xfId="0" applyFill="1" applyBorder="1" applyAlignment="1" applyProtection="1">
      <alignment horizontal="center" vertical="center"/>
    </xf>
    <xf numFmtId="0" fontId="0" fillId="8" borderId="2" xfId="0" applyFill="1" applyBorder="1" applyAlignment="1" applyProtection="1">
      <alignment horizontal="center" vertical="center"/>
    </xf>
    <xf numFmtId="0" fontId="0" fillId="8" borderId="12" xfId="0" applyFill="1" applyBorder="1" applyAlignment="1" applyProtection="1">
      <alignment horizontal="center" vertical="center"/>
    </xf>
    <xf numFmtId="0" fontId="0" fillId="0" borderId="0"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1" fillId="0" borderId="3" xfId="0" applyFont="1" applyBorder="1" applyAlignment="1" applyProtection="1">
      <alignment horizontal="center" vertical="center"/>
    </xf>
    <xf numFmtId="177" fontId="0" fillId="0" borderId="11" xfId="1" applyNumberFormat="1" applyFont="1" applyBorder="1" applyAlignment="1" applyProtection="1">
      <alignment horizontal="center" vertical="center"/>
    </xf>
    <xf numFmtId="177" fontId="0" fillId="0" borderId="2" xfId="1" applyNumberFormat="1" applyFont="1" applyBorder="1" applyAlignment="1" applyProtection="1">
      <alignment horizontal="center" vertical="center"/>
    </xf>
    <xf numFmtId="177" fontId="0" fillId="0" borderId="12" xfId="1" applyNumberFormat="1" applyFont="1" applyBorder="1" applyAlignment="1" applyProtection="1">
      <alignment horizontal="center" vertical="center"/>
    </xf>
    <xf numFmtId="0" fontId="28" fillId="0" borderId="5" xfId="3" applyBorder="1" applyAlignment="1" applyProtection="1">
      <alignment horizontal="left" vertical="center" wrapText="1"/>
      <protection locked="0"/>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180" fontId="0" fillId="0" borderId="11" xfId="2" applyNumberFormat="1" applyFont="1" applyBorder="1" applyAlignment="1" applyProtection="1">
      <alignment horizontal="center" vertical="center"/>
    </xf>
    <xf numFmtId="180" fontId="0" fillId="0" borderId="2" xfId="2" applyNumberFormat="1" applyFont="1" applyBorder="1" applyAlignment="1" applyProtection="1">
      <alignment horizontal="center" vertical="center"/>
    </xf>
    <xf numFmtId="180" fontId="0" fillId="0" borderId="12" xfId="2" applyNumberFormat="1" applyFont="1" applyBorder="1" applyAlignment="1" applyProtection="1">
      <alignment horizontal="center" vertical="center"/>
    </xf>
    <xf numFmtId="180" fontId="0" fillId="2" borderId="3" xfId="2" applyNumberFormat="1" applyFont="1" applyFill="1" applyBorder="1" applyAlignment="1" applyProtection="1">
      <alignment horizontal="center" vertical="center"/>
      <protection locked="0"/>
    </xf>
    <xf numFmtId="177" fontId="0" fillId="2" borderId="3" xfId="1" applyNumberFormat="1" applyFont="1" applyFill="1" applyBorder="1" applyAlignment="1" applyProtection="1">
      <alignment horizontal="center" vertical="center"/>
      <protection locked="0"/>
    </xf>
    <xf numFmtId="173" fontId="0" fillId="2" borderId="3" xfId="2" applyNumberFormat="1" applyFont="1" applyFill="1" applyBorder="1" applyAlignment="1" applyProtection="1">
      <alignment horizontal="center" vertical="center"/>
      <protection locked="0"/>
    </xf>
    <xf numFmtId="0" fontId="52" fillId="5" borderId="13" xfId="0" applyFont="1" applyFill="1" applyBorder="1" applyAlignment="1" applyProtection="1">
      <alignment horizontal="center" vertical="center" wrapText="1"/>
      <protection locked="0"/>
    </xf>
    <xf numFmtId="0" fontId="52" fillId="5" borderId="15" xfId="0" applyFont="1" applyFill="1" applyBorder="1" applyAlignment="1" applyProtection="1">
      <alignment horizontal="center" vertical="center" wrapText="1"/>
      <protection locked="0"/>
    </xf>
    <xf numFmtId="0" fontId="52" fillId="5" borderId="14" xfId="0" applyFont="1" applyFill="1" applyBorder="1" applyAlignment="1" applyProtection="1">
      <alignment horizontal="center" vertical="center" wrapText="1"/>
      <protection locked="0"/>
    </xf>
    <xf numFmtId="0" fontId="65" fillId="9" borderId="3" xfId="0" applyFont="1" applyFill="1" applyBorder="1" applyAlignment="1" applyProtection="1">
      <alignment horizontal="center" vertical="center"/>
      <protection locked="0"/>
    </xf>
    <xf numFmtId="0" fontId="61" fillId="4" borderId="3" xfId="0" applyFont="1" applyFill="1" applyBorder="1" applyAlignment="1" applyProtection="1">
      <alignment horizontal="center" vertical="center"/>
      <protection locked="0"/>
    </xf>
    <xf numFmtId="0" fontId="62" fillId="0" borderId="11" xfId="3" applyFont="1" applyBorder="1" applyAlignment="1" applyProtection="1">
      <alignment horizontal="center" vertical="center"/>
      <protection locked="0"/>
    </xf>
    <xf numFmtId="0" fontId="62" fillId="0" borderId="2" xfId="3" applyFont="1" applyBorder="1" applyAlignment="1" applyProtection="1">
      <alignment horizontal="center" vertical="center"/>
      <protection locked="0"/>
    </xf>
    <xf numFmtId="0" fontId="62" fillId="0" borderId="12" xfId="3" applyFont="1" applyBorder="1" applyAlignment="1" applyProtection="1">
      <alignment horizontal="center" vertical="center"/>
      <protection locked="0"/>
    </xf>
    <xf numFmtId="0" fontId="52" fillId="0" borderId="3" xfId="0" applyFont="1" applyBorder="1" applyAlignment="1" applyProtection="1">
      <alignment horizontal="center" vertical="center" wrapText="1"/>
    </xf>
    <xf numFmtId="0" fontId="58" fillId="3" borderId="3" xfId="0" applyFont="1" applyFill="1" applyBorder="1" applyAlignment="1" applyProtection="1">
      <alignment horizontal="center" vertical="center"/>
      <protection locked="0"/>
    </xf>
    <xf numFmtId="0" fontId="62" fillId="0" borderId="3" xfId="3" applyFont="1" applyBorder="1" applyAlignment="1" applyProtection="1">
      <alignment horizontal="left" vertical="center"/>
      <protection locked="0"/>
    </xf>
    <xf numFmtId="0" fontId="70" fillId="0" borderId="3" xfId="0" applyFont="1" applyBorder="1" applyAlignment="1" applyProtection="1">
      <alignment horizontal="center" vertical="center" wrapText="1"/>
    </xf>
    <xf numFmtId="10" fontId="6" fillId="2" borderId="3" xfId="2" applyNumberFormat="1" applyFont="1" applyFill="1" applyBorder="1" applyAlignment="1" applyProtection="1">
      <alignment horizontal="center" vertical="center"/>
      <protection locked="0"/>
    </xf>
    <xf numFmtId="9" fontId="52" fillId="0" borderId="3" xfId="2" applyFont="1" applyBorder="1" applyAlignment="1" applyProtection="1">
      <alignment horizontal="center" vertical="center"/>
    </xf>
    <xf numFmtId="0" fontId="65" fillId="9" borderId="11" xfId="0" applyFont="1" applyFill="1" applyBorder="1" applyAlignment="1" applyProtection="1">
      <alignment horizontal="center" vertical="center"/>
      <protection locked="0"/>
    </xf>
    <xf numFmtId="0" fontId="65" fillId="9" borderId="2" xfId="0" applyFont="1" applyFill="1" applyBorder="1" applyAlignment="1" applyProtection="1">
      <alignment horizontal="center" vertical="center"/>
      <protection locked="0"/>
    </xf>
    <xf numFmtId="0" fontId="65" fillId="9" borderId="12" xfId="0" applyFont="1" applyFill="1" applyBorder="1" applyAlignment="1" applyProtection="1">
      <alignment horizontal="center" vertical="center"/>
      <protection locked="0"/>
    </xf>
    <xf numFmtId="0" fontId="52" fillId="0" borderId="3" xfId="0" applyFont="1" applyBorder="1" applyAlignment="1" applyProtection="1">
      <alignment horizontal="left" vertical="center"/>
    </xf>
    <xf numFmtId="0" fontId="52" fillId="0" borderId="3" xfId="0" applyFont="1" applyBorder="1" applyAlignment="1" applyProtection="1">
      <alignment horizontal="center" vertical="center"/>
    </xf>
    <xf numFmtId="167" fontId="52" fillId="2" borderId="3" xfId="1" applyNumberFormat="1" applyFont="1" applyFill="1" applyBorder="1" applyAlignment="1" applyProtection="1">
      <alignment horizontal="center" vertical="center"/>
      <protection locked="0"/>
    </xf>
    <xf numFmtId="176" fontId="52" fillId="2" borderId="3" xfId="1" applyNumberFormat="1" applyFont="1" applyFill="1" applyBorder="1" applyAlignment="1" applyProtection="1">
      <alignment horizontal="center" vertical="center"/>
      <protection locked="0"/>
    </xf>
    <xf numFmtId="9" fontId="52" fillId="2" borderId="11" xfId="2" applyFont="1" applyFill="1" applyBorder="1" applyAlignment="1" applyProtection="1">
      <alignment horizontal="center" vertical="center"/>
      <protection locked="0"/>
    </xf>
    <xf numFmtId="9" fontId="52" fillId="2" borderId="12" xfId="2" applyFont="1" applyFill="1" applyBorder="1" applyAlignment="1" applyProtection="1">
      <alignment horizontal="center" vertical="center"/>
      <protection locked="0"/>
    </xf>
    <xf numFmtId="179" fontId="52" fillId="0" borderId="11" xfId="1" applyNumberFormat="1" applyFont="1" applyBorder="1" applyAlignment="1" applyProtection="1">
      <alignment horizontal="center" vertical="center"/>
    </xf>
    <xf numFmtId="179" fontId="52" fillId="0" borderId="2" xfId="1" applyNumberFormat="1" applyFont="1" applyBorder="1" applyAlignment="1" applyProtection="1">
      <alignment horizontal="center" vertical="center"/>
    </xf>
    <xf numFmtId="179" fontId="52" fillId="0" borderId="12" xfId="1" applyNumberFormat="1" applyFont="1" applyBorder="1" applyAlignment="1" applyProtection="1">
      <alignment horizontal="center" vertical="center"/>
    </xf>
    <xf numFmtId="0" fontId="62" fillId="0" borderId="0" xfId="3" applyFont="1" applyBorder="1" applyAlignment="1" applyProtection="1">
      <alignment horizontal="left" vertical="center" wrapText="1"/>
      <protection locked="0"/>
    </xf>
    <xf numFmtId="175" fontId="52" fillId="0" borderId="11" xfId="1" applyNumberFormat="1" applyFont="1" applyFill="1" applyBorder="1" applyAlignment="1" applyProtection="1">
      <alignment horizontal="center" vertical="center"/>
    </xf>
    <xf numFmtId="175" fontId="52" fillId="0" borderId="2" xfId="1" applyNumberFormat="1" applyFont="1" applyFill="1" applyBorder="1" applyAlignment="1" applyProtection="1">
      <alignment horizontal="center" vertical="center"/>
    </xf>
    <xf numFmtId="175" fontId="52" fillId="0" borderId="12" xfId="1" applyNumberFormat="1" applyFont="1" applyFill="1" applyBorder="1" applyAlignment="1" applyProtection="1">
      <alignment horizontal="center" vertical="center"/>
    </xf>
    <xf numFmtId="0" fontId="61" fillId="4" borderId="11" xfId="0" applyFont="1" applyFill="1" applyBorder="1" applyAlignment="1" applyProtection="1">
      <alignment horizontal="center" vertical="center"/>
      <protection locked="0"/>
    </xf>
    <xf numFmtId="0" fontId="61" fillId="4" borderId="2" xfId="0" applyFont="1" applyFill="1" applyBorder="1" applyAlignment="1" applyProtection="1">
      <alignment horizontal="center" vertical="center"/>
      <protection locked="0"/>
    </xf>
    <xf numFmtId="0" fontId="61" fillId="4" borderId="12" xfId="0" applyFont="1" applyFill="1" applyBorder="1" applyAlignment="1" applyProtection="1">
      <alignment horizontal="center" vertical="center"/>
      <protection locked="0"/>
    </xf>
    <xf numFmtId="179" fontId="52" fillId="2" borderId="11" xfId="1" applyNumberFormat="1" applyFont="1" applyFill="1" applyBorder="1" applyAlignment="1" applyProtection="1">
      <alignment horizontal="center" vertical="center"/>
      <protection locked="0"/>
    </xf>
    <xf numFmtId="179" fontId="52" fillId="2" borderId="12" xfId="1" applyNumberFormat="1" applyFont="1" applyFill="1" applyBorder="1" applyAlignment="1" applyProtection="1">
      <alignment horizontal="center" vertical="center"/>
      <protection locked="0"/>
    </xf>
    <xf numFmtId="0" fontId="62" fillId="0" borderId="5" xfId="3" applyFont="1" applyBorder="1" applyAlignment="1" applyProtection="1">
      <alignment horizontal="left" vertical="center" wrapText="1"/>
      <protection locked="0"/>
    </xf>
    <xf numFmtId="180" fontId="52" fillId="2" borderId="11" xfId="1" applyNumberFormat="1" applyFont="1" applyFill="1" applyBorder="1" applyAlignment="1" applyProtection="1">
      <alignment horizontal="center" vertical="center"/>
      <protection locked="0"/>
    </xf>
    <xf numFmtId="180" fontId="52" fillId="2" borderId="12" xfId="1" applyNumberFormat="1" applyFont="1" applyFill="1" applyBorder="1" applyAlignment="1" applyProtection="1">
      <alignment horizontal="center" vertical="center"/>
      <protection locked="0"/>
    </xf>
    <xf numFmtId="180" fontId="66" fillId="6" borderId="11" xfId="0" applyNumberFormat="1" applyFont="1" applyFill="1" applyBorder="1" applyAlignment="1" applyProtection="1">
      <alignment horizontal="center" vertical="center"/>
      <protection locked="0"/>
    </xf>
    <xf numFmtId="180" fontId="66" fillId="6" borderId="12" xfId="0" applyNumberFormat="1" applyFont="1" applyFill="1" applyBorder="1" applyAlignment="1" applyProtection="1">
      <alignment horizontal="center" vertical="center"/>
      <protection locked="0"/>
    </xf>
    <xf numFmtId="0" fontId="65" fillId="9" borderId="3" xfId="0" applyFont="1" applyFill="1" applyBorder="1" applyAlignment="1" applyProtection="1">
      <alignment horizontal="center" vertical="center" wrapText="1"/>
      <protection locked="0"/>
    </xf>
    <xf numFmtId="0" fontId="65" fillId="9" borderId="9" xfId="0" applyFont="1" applyFill="1" applyBorder="1" applyAlignment="1" applyProtection="1">
      <alignment horizontal="center" vertical="center"/>
      <protection locked="0"/>
    </xf>
    <xf numFmtId="0" fontId="65" fillId="9" borderId="1" xfId="0" applyFont="1" applyFill="1" applyBorder="1" applyAlignment="1" applyProtection="1">
      <alignment horizontal="center" vertical="center"/>
      <protection locked="0"/>
    </xf>
    <xf numFmtId="0" fontId="65" fillId="9" borderId="11" xfId="0" applyFont="1" applyFill="1" applyBorder="1" applyAlignment="1" applyProtection="1">
      <alignment horizontal="center" vertical="center" wrapText="1"/>
      <protection locked="0"/>
    </xf>
    <xf numFmtId="0" fontId="65" fillId="9" borderId="12" xfId="0" applyFont="1" applyFill="1" applyBorder="1" applyAlignment="1" applyProtection="1">
      <alignment horizontal="center" vertical="center" wrapText="1"/>
      <protection locked="0"/>
    </xf>
    <xf numFmtId="0" fontId="65" fillId="9" borderId="2" xfId="0" applyFont="1" applyFill="1" applyBorder="1" applyAlignment="1" applyProtection="1">
      <alignment horizontal="center" vertical="center" wrapText="1"/>
      <protection locked="0"/>
    </xf>
    <xf numFmtId="0" fontId="74" fillId="0" borderId="3" xfId="0" applyFont="1" applyBorder="1" applyAlignment="1" applyProtection="1">
      <alignment horizontal="left" vertical="center"/>
    </xf>
    <xf numFmtId="0" fontId="52" fillId="0" borderId="3" xfId="0" applyFont="1" applyBorder="1" applyAlignment="1" applyProtection="1">
      <alignment horizontal="center" vertical="center"/>
      <protection locked="0"/>
    </xf>
    <xf numFmtId="0" fontId="52" fillId="0" borderId="1" xfId="0" applyFont="1" applyBorder="1" applyAlignment="1" applyProtection="1">
      <alignment horizontal="center" vertical="center" wrapText="1"/>
      <protection locked="0"/>
    </xf>
    <xf numFmtId="0" fontId="65" fillId="9" borderId="4" xfId="0" applyFont="1" applyFill="1" applyBorder="1" applyAlignment="1" applyProtection="1">
      <alignment horizontal="center" vertical="center" wrapText="1"/>
      <protection locked="0"/>
    </xf>
    <xf numFmtId="0" fontId="65" fillId="9" borderId="6" xfId="0" applyFont="1" applyFill="1" applyBorder="1" applyAlignment="1" applyProtection="1">
      <alignment horizontal="center" vertical="center" wrapText="1"/>
      <protection locked="0"/>
    </xf>
    <xf numFmtId="0" fontId="65" fillId="9" borderId="9" xfId="0" applyFont="1" applyFill="1" applyBorder="1" applyAlignment="1" applyProtection="1">
      <alignment horizontal="center" vertical="center" wrapText="1"/>
      <protection locked="0"/>
    </xf>
    <xf numFmtId="0" fontId="65" fillId="9" borderId="10" xfId="0" applyFont="1" applyFill="1" applyBorder="1" applyAlignment="1" applyProtection="1">
      <alignment horizontal="center" vertical="center" wrapText="1"/>
      <protection locked="0"/>
    </xf>
    <xf numFmtId="0" fontId="62" fillId="0" borderId="0" xfId="3" applyFont="1" applyBorder="1" applyAlignment="1" applyProtection="1">
      <alignment horizontal="center" vertical="center"/>
      <protection locked="0"/>
    </xf>
    <xf numFmtId="0" fontId="65" fillId="9" borderId="7" xfId="0" applyFont="1" applyFill="1" applyBorder="1" applyAlignment="1" applyProtection="1">
      <alignment horizontal="center" vertical="center" wrapText="1"/>
      <protection locked="0"/>
    </xf>
    <xf numFmtId="0" fontId="65" fillId="9" borderId="0" xfId="0" applyFont="1" applyFill="1" applyBorder="1" applyAlignment="1" applyProtection="1">
      <alignment horizontal="center" vertical="center" wrapText="1"/>
      <protection locked="0"/>
    </xf>
    <xf numFmtId="0" fontId="65" fillId="9" borderId="8" xfId="0" applyFont="1" applyFill="1" applyBorder="1" applyAlignment="1" applyProtection="1">
      <alignment horizontal="center" vertical="center" wrapText="1"/>
      <protection locked="0"/>
    </xf>
    <xf numFmtId="0" fontId="52" fillId="0" borderId="3" xfId="0" applyFont="1" applyFill="1" applyBorder="1" applyAlignment="1" applyProtection="1">
      <alignment horizontal="left" vertical="center"/>
    </xf>
    <xf numFmtId="0" fontId="62" fillId="0" borderId="0" xfId="3" applyFont="1" applyBorder="1" applyAlignment="1" applyProtection="1">
      <alignment horizontal="left" vertical="center"/>
      <protection locked="0"/>
    </xf>
    <xf numFmtId="0" fontId="52" fillId="0" borderId="0" xfId="0" applyFont="1" applyBorder="1" applyAlignment="1" applyProtection="1">
      <alignment horizontal="left" vertical="center" wrapText="1"/>
    </xf>
    <xf numFmtId="0" fontId="52" fillId="0" borderId="8" xfId="0" applyFont="1" applyBorder="1" applyAlignment="1" applyProtection="1">
      <alignment horizontal="left" vertical="center" wrapText="1"/>
    </xf>
    <xf numFmtId="166" fontId="65" fillId="9" borderId="3" xfId="1" applyFont="1" applyFill="1" applyBorder="1" applyAlignment="1" applyProtection="1">
      <alignment horizontal="center" vertical="center" wrapText="1"/>
      <protection locked="0"/>
    </xf>
    <xf numFmtId="0" fontId="70" fillId="0" borderId="3" xfId="0" applyFont="1" applyFill="1" applyBorder="1" applyAlignment="1" applyProtection="1">
      <alignment horizontal="left" vertical="center"/>
    </xf>
    <xf numFmtId="180" fontId="6" fillId="5" borderId="11" xfId="0" applyNumberFormat="1" applyFont="1" applyFill="1" applyBorder="1" applyAlignment="1" applyProtection="1">
      <alignment horizontal="center" vertical="center"/>
      <protection locked="0"/>
    </xf>
    <xf numFmtId="180" fontId="6" fillId="5" borderId="12" xfId="0" applyNumberFormat="1" applyFont="1" applyFill="1" applyBorder="1" applyAlignment="1" applyProtection="1">
      <alignment horizontal="center" vertical="center"/>
      <protection locked="0"/>
    </xf>
    <xf numFmtId="176" fontId="52" fillId="0" borderId="3" xfId="1" applyNumberFormat="1" applyFont="1" applyFill="1" applyBorder="1" applyAlignment="1" applyProtection="1">
      <alignment horizontal="center" vertical="center"/>
    </xf>
    <xf numFmtId="0" fontId="52" fillId="0" borderId="0" xfId="0" applyFont="1" applyBorder="1" applyAlignment="1" applyProtection="1">
      <alignment horizontal="left" vertical="center" wrapText="1"/>
      <protection locked="0"/>
    </xf>
    <xf numFmtId="0" fontId="52" fillId="0" borderId="8" xfId="0" applyFont="1" applyBorder="1" applyAlignment="1" applyProtection="1">
      <alignment horizontal="left" vertical="center" wrapText="1"/>
      <protection locked="0"/>
    </xf>
    <xf numFmtId="0" fontId="72" fillId="9" borderId="3" xfId="0" applyFont="1" applyFill="1" applyBorder="1" applyAlignment="1" applyProtection="1">
      <alignment horizontal="center" vertical="center"/>
      <protection locked="0"/>
    </xf>
    <xf numFmtId="0" fontId="66" fillId="0" borderId="3" xfId="0" applyFont="1" applyBorder="1" applyAlignment="1" applyProtection="1">
      <alignment horizontal="center" vertical="center"/>
    </xf>
    <xf numFmtId="0" fontId="28" fillId="0" borderId="3" xfId="3" applyFont="1" applyBorder="1" applyAlignment="1" applyProtection="1">
      <alignment horizontal="center" vertical="center" wrapText="1"/>
      <protection locked="0"/>
    </xf>
    <xf numFmtId="0" fontId="62" fillId="0" borderId="3" xfId="3" applyFont="1" applyBorder="1" applyAlignment="1" applyProtection="1">
      <alignment horizontal="center" vertical="center" wrapText="1"/>
      <protection locked="0"/>
    </xf>
    <xf numFmtId="176" fontId="52" fillId="5" borderId="3" xfId="1" applyNumberFormat="1" applyFont="1" applyFill="1" applyBorder="1" applyAlignment="1" applyProtection="1">
      <alignment horizontal="center" vertical="center"/>
      <protection locked="0"/>
    </xf>
    <xf numFmtId="0" fontId="62" fillId="0" borderId="11" xfId="3" applyFont="1" applyBorder="1" applyAlignment="1" applyProtection="1">
      <alignment horizontal="center" vertical="center" wrapText="1"/>
      <protection locked="0"/>
    </xf>
    <xf numFmtId="0" fontId="62" fillId="0" borderId="12" xfId="3" applyFont="1" applyBorder="1" applyAlignment="1" applyProtection="1">
      <alignment horizontal="center" vertical="center" wrapText="1"/>
      <protection locked="0"/>
    </xf>
    <xf numFmtId="176" fontId="6" fillId="5" borderId="3" xfId="1" applyNumberFormat="1" applyFont="1" applyFill="1" applyBorder="1" applyAlignment="1" applyProtection="1">
      <alignment horizontal="center" vertical="center"/>
      <protection locked="0"/>
    </xf>
    <xf numFmtId="0" fontId="52" fillId="8" borderId="11" xfId="0" applyFont="1" applyFill="1" applyBorder="1" applyAlignment="1" applyProtection="1">
      <alignment horizontal="center" vertical="center"/>
    </xf>
    <xf numFmtId="0" fontId="52" fillId="8" borderId="2" xfId="0" applyFont="1" applyFill="1" applyBorder="1" applyAlignment="1" applyProtection="1">
      <alignment horizontal="center" vertical="center"/>
    </xf>
    <xf numFmtId="0" fontId="52" fillId="8" borderId="12" xfId="0" applyFont="1" applyFill="1" applyBorder="1" applyAlignment="1" applyProtection="1">
      <alignment horizontal="center" vertical="center"/>
    </xf>
    <xf numFmtId="0" fontId="28" fillId="0" borderId="11" xfId="3" applyFont="1" applyBorder="1" applyAlignment="1" applyProtection="1">
      <alignment horizontal="center" vertical="center" wrapText="1"/>
      <protection locked="0"/>
    </xf>
    <xf numFmtId="176" fontId="52" fillId="8" borderId="11" xfId="1" applyNumberFormat="1" applyFont="1" applyFill="1" applyBorder="1" applyAlignment="1" applyProtection="1">
      <alignment horizontal="center" vertical="center"/>
    </xf>
    <xf numFmtId="176" fontId="52" fillId="8" borderId="2" xfId="1" applyNumberFormat="1" applyFont="1" applyFill="1" applyBorder="1" applyAlignment="1" applyProtection="1">
      <alignment horizontal="center" vertical="center"/>
    </xf>
    <xf numFmtId="176" fontId="52" fillId="8" borderId="12" xfId="1" applyNumberFormat="1" applyFont="1" applyFill="1" applyBorder="1" applyAlignment="1" applyProtection="1">
      <alignment horizontal="center" vertical="center"/>
    </xf>
    <xf numFmtId="0" fontId="52" fillId="0" borderId="0" xfId="0" applyFont="1" applyBorder="1" applyAlignment="1" applyProtection="1">
      <alignment horizontal="center" vertical="center" wrapText="1"/>
      <protection locked="0"/>
    </xf>
    <xf numFmtId="0" fontId="52" fillId="0" borderId="3" xfId="0" applyFont="1" applyFill="1" applyBorder="1" applyAlignment="1" applyProtection="1">
      <alignment horizontal="center" vertical="center"/>
      <protection locked="0"/>
    </xf>
    <xf numFmtId="176" fontId="52" fillId="0" borderId="11" xfId="1" applyNumberFormat="1" applyFont="1" applyFill="1" applyBorder="1" applyAlignment="1" applyProtection="1">
      <alignment horizontal="center" vertical="center"/>
    </xf>
    <xf numFmtId="176" fontId="52" fillId="0" borderId="12" xfId="1" applyNumberFormat="1" applyFont="1" applyFill="1" applyBorder="1" applyAlignment="1" applyProtection="1">
      <alignment horizontal="center" vertical="center"/>
    </xf>
    <xf numFmtId="0" fontId="52" fillId="0" borderId="11" xfId="0" applyFont="1" applyFill="1" applyBorder="1" applyAlignment="1" applyProtection="1">
      <alignment horizontal="left" vertical="center"/>
    </xf>
    <xf numFmtId="0" fontId="52" fillId="0" borderId="2" xfId="0" applyFont="1" applyFill="1" applyBorder="1" applyAlignment="1" applyProtection="1">
      <alignment horizontal="left" vertical="center"/>
    </xf>
    <xf numFmtId="0" fontId="52" fillId="0" borderId="12" xfId="0" applyFont="1" applyFill="1" applyBorder="1" applyAlignment="1" applyProtection="1">
      <alignment horizontal="left" vertical="center"/>
    </xf>
    <xf numFmtId="176" fontId="6" fillId="5" borderId="11" xfId="1" applyNumberFormat="1" applyFont="1" applyFill="1" applyBorder="1" applyAlignment="1" applyProtection="1">
      <alignment horizontal="center" vertical="center"/>
      <protection locked="0"/>
    </xf>
    <xf numFmtId="176" fontId="6" fillId="5" borderId="12" xfId="1" applyNumberFormat="1" applyFont="1" applyFill="1" applyBorder="1" applyAlignment="1" applyProtection="1">
      <alignment horizontal="center" vertical="center"/>
      <protection locked="0"/>
    </xf>
    <xf numFmtId="9" fontId="52" fillId="5" borderId="3" xfId="2" applyFont="1" applyFill="1" applyBorder="1" applyAlignment="1" applyProtection="1">
      <alignment horizontal="center" vertical="center" wrapText="1"/>
      <protection locked="0"/>
    </xf>
    <xf numFmtId="167" fontId="52" fillId="5" borderId="3" xfId="1" applyNumberFormat="1" applyFont="1" applyFill="1" applyBorder="1" applyAlignment="1" applyProtection="1">
      <alignment horizontal="center" vertical="center" wrapText="1"/>
      <protection locked="0"/>
    </xf>
    <xf numFmtId="0" fontId="65" fillId="9" borderId="1" xfId="0" applyFont="1" applyFill="1" applyBorder="1" applyAlignment="1" applyProtection="1">
      <alignment horizontal="center" vertical="center" wrapText="1"/>
      <protection locked="0"/>
    </xf>
    <xf numFmtId="0" fontId="52" fillId="5" borderId="12" xfId="0" applyFont="1" applyFill="1" applyBorder="1" applyAlignment="1" applyProtection="1">
      <alignment horizontal="center" vertical="center" wrapText="1"/>
      <protection locked="0"/>
    </xf>
    <xf numFmtId="0" fontId="52" fillId="5" borderId="3" xfId="0" applyFont="1" applyFill="1" applyBorder="1" applyAlignment="1" applyProtection="1">
      <alignment horizontal="center" vertical="center" wrapText="1"/>
      <protection locked="0"/>
    </xf>
    <xf numFmtId="175" fontId="52" fillId="5" borderId="3" xfId="1" applyNumberFormat="1" applyFont="1" applyFill="1" applyBorder="1" applyAlignment="1" applyProtection="1">
      <alignment horizontal="center" vertical="center" wrapText="1"/>
      <protection locked="0"/>
    </xf>
    <xf numFmtId="0" fontId="52" fillId="5" borderId="11" xfId="0" applyFont="1" applyFill="1" applyBorder="1" applyAlignment="1" applyProtection="1">
      <alignment horizontal="center" vertical="center" wrapText="1"/>
      <protection locked="0"/>
    </xf>
    <xf numFmtId="183" fontId="52" fillId="5" borderId="3" xfId="1" applyNumberFormat="1" applyFont="1" applyFill="1" applyBorder="1" applyAlignment="1" applyProtection="1">
      <alignment horizontal="center" vertical="center" wrapText="1"/>
      <protection locked="0"/>
    </xf>
    <xf numFmtId="0" fontId="62" fillId="0" borderId="0" xfId="3" applyFont="1" applyFill="1" applyBorder="1" applyAlignment="1" applyProtection="1">
      <alignment horizontal="center" vertical="center" wrapText="1"/>
      <protection locked="0"/>
    </xf>
    <xf numFmtId="0" fontId="52" fillId="0" borderId="11" xfId="0" applyFont="1" applyFill="1" applyBorder="1" applyAlignment="1" applyProtection="1">
      <alignment horizontal="center" vertical="center" wrapText="1"/>
    </xf>
    <xf numFmtId="0" fontId="52" fillId="0" borderId="12" xfId="0" applyFont="1" applyFill="1" applyBorder="1" applyAlignment="1" applyProtection="1">
      <alignment horizontal="center" vertical="center" wrapText="1"/>
    </xf>
    <xf numFmtId="166" fontId="52" fillId="0" borderId="11" xfId="1" applyFont="1" applyFill="1" applyBorder="1" applyAlignment="1" applyProtection="1">
      <alignment horizontal="center" vertical="center" wrapText="1"/>
      <protection locked="0"/>
    </xf>
    <xf numFmtId="166" fontId="52" fillId="0" borderId="12" xfId="1" applyFont="1" applyFill="1" applyBorder="1" applyAlignment="1" applyProtection="1">
      <alignment horizontal="center" vertical="center" wrapText="1"/>
      <protection locked="0"/>
    </xf>
    <xf numFmtId="0" fontId="70" fillId="0" borderId="0" xfId="0" applyFont="1" applyFill="1" applyBorder="1" applyAlignment="1" applyProtection="1">
      <alignment horizontal="left" vertical="center" wrapText="1"/>
    </xf>
    <xf numFmtId="0" fontId="70" fillId="0" borderId="8" xfId="0" applyFont="1" applyFill="1" applyBorder="1" applyAlignment="1" applyProtection="1">
      <alignment horizontal="left" vertical="center" wrapText="1"/>
    </xf>
    <xf numFmtId="9" fontId="52" fillId="0" borderId="11" xfId="2" applyFont="1" applyFill="1" applyBorder="1" applyAlignment="1" applyProtection="1">
      <alignment horizontal="center" vertical="center" wrapText="1"/>
    </xf>
    <xf numFmtId="9" fontId="52" fillId="0" borderId="12" xfId="2" applyFont="1" applyFill="1" applyBorder="1" applyAlignment="1" applyProtection="1">
      <alignment horizontal="center" vertical="center" wrapText="1"/>
    </xf>
    <xf numFmtId="175" fontId="52" fillId="0" borderId="11" xfId="1" applyNumberFormat="1" applyFont="1" applyFill="1" applyBorder="1" applyAlignment="1" applyProtection="1">
      <alignment horizontal="center" vertical="center" wrapText="1"/>
    </xf>
    <xf numFmtId="175" fontId="52" fillId="0" borderId="12" xfId="1" applyNumberFormat="1" applyFont="1" applyFill="1" applyBorder="1" applyAlignment="1" applyProtection="1">
      <alignment horizontal="center" vertical="center" wrapText="1"/>
    </xf>
    <xf numFmtId="0" fontId="52" fillId="5" borderId="2" xfId="0" applyFont="1" applyFill="1" applyBorder="1" applyAlignment="1" applyProtection="1">
      <alignment horizontal="center" vertical="center" wrapText="1"/>
      <protection locked="0"/>
    </xf>
    <xf numFmtId="174" fontId="52" fillId="0" borderId="11" xfId="1" applyNumberFormat="1" applyFont="1" applyFill="1" applyBorder="1" applyAlignment="1" applyProtection="1">
      <alignment horizontal="center" vertical="center" wrapText="1"/>
    </xf>
    <xf numFmtId="174" fontId="52" fillId="0" borderId="12" xfId="1" applyNumberFormat="1" applyFont="1" applyFill="1" applyBorder="1" applyAlignment="1" applyProtection="1">
      <alignment horizontal="center" vertical="center" wrapText="1"/>
    </xf>
    <xf numFmtId="174" fontId="52" fillId="0" borderId="9" xfId="1" applyNumberFormat="1" applyFont="1" applyFill="1" applyBorder="1" applyAlignment="1" applyProtection="1">
      <alignment horizontal="center" vertical="center" wrapText="1"/>
    </xf>
    <xf numFmtId="174" fontId="52" fillId="0" borderId="10" xfId="1" applyNumberFormat="1" applyFont="1" applyFill="1" applyBorder="1" applyAlignment="1" applyProtection="1">
      <alignment horizontal="center" vertical="center" wrapText="1"/>
    </xf>
    <xf numFmtId="166" fontId="52" fillId="0" borderId="11" xfId="1" applyFont="1" applyFill="1" applyBorder="1" applyAlignment="1" applyProtection="1">
      <alignment horizontal="center" vertical="center" wrapText="1"/>
    </xf>
    <xf numFmtId="166" fontId="52" fillId="0" borderId="12" xfId="1" applyFont="1" applyFill="1" applyBorder="1" applyAlignment="1" applyProtection="1">
      <alignment horizontal="center" vertical="center" wrapText="1"/>
    </xf>
    <xf numFmtId="0" fontId="52" fillId="5" borderId="11" xfId="0" applyFont="1" applyFill="1" applyBorder="1" applyAlignment="1" applyProtection="1">
      <alignment horizontal="center" vertical="center"/>
      <protection locked="0"/>
    </xf>
    <xf numFmtId="0" fontId="52" fillId="5" borderId="2" xfId="0" applyFont="1" applyFill="1" applyBorder="1" applyAlignment="1" applyProtection="1">
      <alignment horizontal="center" vertical="center"/>
      <protection locked="0"/>
    </xf>
    <xf numFmtId="0" fontId="52" fillId="5" borderId="12" xfId="0" applyFont="1" applyFill="1" applyBorder="1" applyAlignment="1" applyProtection="1">
      <alignment horizontal="center" vertical="center"/>
      <protection locked="0"/>
    </xf>
    <xf numFmtId="0" fontId="65" fillId="3" borderId="11" xfId="0" applyFont="1" applyFill="1" applyBorder="1" applyAlignment="1" applyProtection="1">
      <alignment horizontal="center" vertical="center"/>
      <protection locked="0"/>
    </xf>
    <xf numFmtId="0" fontId="65" fillId="3" borderId="2" xfId="0" applyFont="1" applyFill="1" applyBorder="1" applyAlignment="1" applyProtection="1">
      <alignment horizontal="center" vertical="center"/>
      <protection locked="0"/>
    </xf>
    <xf numFmtId="0" fontId="65" fillId="3" borderId="12" xfId="0" applyFont="1" applyFill="1" applyBorder="1" applyAlignment="1" applyProtection="1">
      <alignment horizontal="center" vertical="center"/>
      <protection locked="0"/>
    </xf>
    <xf numFmtId="0" fontId="66" fillId="0" borderId="5" xfId="0" applyFont="1" applyFill="1" applyBorder="1" applyAlignment="1" applyProtection="1">
      <alignment horizontal="center" vertical="center" wrapText="1"/>
      <protection locked="0"/>
    </xf>
    <xf numFmtId="0" fontId="53" fillId="5" borderId="0" xfId="0" applyFont="1" applyFill="1" applyAlignment="1" applyProtection="1">
      <alignment horizontal="center" vertical="center"/>
      <protection locked="0"/>
    </xf>
    <xf numFmtId="0" fontId="54" fillId="5" borderId="0" xfId="0" applyFont="1" applyFill="1" applyAlignment="1" applyProtection="1">
      <alignment horizontal="center" vertical="center"/>
      <protection locked="0"/>
    </xf>
    <xf numFmtId="0" fontId="58" fillId="3" borderId="11" xfId="0" applyFont="1" applyFill="1" applyBorder="1" applyAlignment="1" applyProtection="1">
      <alignment horizontal="center" vertical="center"/>
      <protection locked="0"/>
    </xf>
    <xf numFmtId="0" fontId="58" fillId="3" borderId="2" xfId="0" applyFont="1" applyFill="1" applyBorder="1" applyAlignment="1" applyProtection="1">
      <alignment horizontal="center" vertical="center"/>
      <protection locked="0"/>
    </xf>
    <xf numFmtId="0" fontId="58" fillId="3" borderId="12"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60" fillId="17" borderId="39" xfId="5" applyFont="1" applyAlignment="1" applyProtection="1">
      <alignment horizontal="center" vertical="center"/>
      <protection locked="0"/>
    </xf>
    <xf numFmtId="166" fontId="16" fillId="5" borderId="0" xfId="1" applyFont="1" applyFill="1" applyAlignment="1">
      <alignment horizont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3" fillId="3" borderId="0" xfId="0" applyFont="1" applyFill="1" applyBorder="1" applyAlignment="1">
      <alignment horizontal="left"/>
    </xf>
    <xf numFmtId="166" fontId="0" fillId="0" borderId="11" xfId="1" applyFont="1" applyBorder="1" applyAlignment="1">
      <alignment horizontal="center" vertical="center" wrapText="1"/>
    </xf>
    <xf numFmtId="166" fontId="0" fillId="0" borderId="12" xfId="1" applyFont="1" applyBorder="1" applyAlignment="1">
      <alignment horizontal="center" vertical="center" wrapText="1"/>
    </xf>
    <xf numFmtId="166" fontId="0" fillId="5" borderId="11" xfId="1" applyFont="1" applyFill="1" applyBorder="1" applyAlignment="1">
      <alignment horizontal="center" vertical="center" wrapText="1"/>
    </xf>
    <xf numFmtId="166" fontId="0" fillId="5" borderId="12" xfId="1" applyFont="1" applyFill="1" applyBorder="1" applyAlignment="1">
      <alignment horizontal="center" vertical="center" wrapText="1"/>
    </xf>
    <xf numFmtId="166" fontId="21" fillId="8" borderId="0" xfId="1" applyFont="1" applyFill="1" applyAlignment="1">
      <alignment horizontal="center"/>
    </xf>
    <xf numFmtId="166" fontId="16" fillId="8" borderId="0" xfId="1" applyFont="1" applyFill="1" applyAlignment="1">
      <alignment horizontal="center"/>
    </xf>
    <xf numFmtId="0" fontId="18" fillId="3" borderId="7" xfId="0" applyFont="1" applyFill="1" applyBorder="1" applyAlignment="1">
      <alignment horizontal="left" vertical="center" indent="2"/>
    </xf>
    <xf numFmtId="0" fontId="18" fillId="3" borderId="0" xfId="0" applyFont="1" applyFill="1" applyBorder="1" applyAlignment="1">
      <alignment horizontal="left" vertical="center" indent="2"/>
    </xf>
    <xf numFmtId="166" fontId="0" fillId="0" borderId="0" xfId="1" applyFont="1" applyAlignment="1">
      <alignment horizontal="center"/>
    </xf>
    <xf numFmtId="0" fontId="8" fillId="0" borderId="0" xfId="0" applyFont="1" applyAlignment="1">
      <alignment horizontal="left"/>
    </xf>
    <xf numFmtId="0" fontId="19" fillId="0" borderId="0" xfId="0" applyFont="1" applyAlignment="1">
      <alignment horizontal="left"/>
    </xf>
    <xf numFmtId="0" fontId="24" fillId="0" borderId="0" xfId="0" applyFont="1" applyAlignment="1">
      <alignment horizontal="left"/>
    </xf>
    <xf numFmtId="0" fontId="1" fillId="0" borderId="0" xfId="0" applyFont="1" applyAlignment="1">
      <alignment horizontal="center"/>
    </xf>
    <xf numFmtId="0" fontId="18" fillId="3" borderId="7" xfId="0" applyFont="1" applyFill="1" applyBorder="1" applyAlignment="1">
      <alignment horizontal="left" vertical="center" indent="3"/>
    </xf>
    <xf numFmtId="0" fontId="18" fillId="3" borderId="0" xfId="0" applyFont="1" applyFill="1" applyBorder="1" applyAlignment="1">
      <alignment horizontal="left" vertical="center" indent="3"/>
    </xf>
    <xf numFmtId="0" fontId="23" fillId="3" borderId="0" xfId="0" applyFont="1" applyFill="1" applyBorder="1" applyAlignment="1">
      <alignment horizontal="center"/>
    </xf>
    <xf numFmtId="166" fontId="0" fillId="0" borderId="0" xfId="1" applyFont="1" applyFill="1" applyAlignment="1">
      <alignment horizontal="center"/>
    </xf>
    <xf numFmtId="0" fontId="8" fillId="0" borderId="0" xfId="0" applyFont="1" applyAlignment="1">
      <alignment horizontal="center"/>
    </xf>
    <xf numFmtId="0" fontId="18" fillId="3" borderId="7" xfId="0" applyFont="1" applyFill="1" applyBorder="1" applyAlignment="1">
      <alignment horizontal="left" vertical="center"/>
    </xf>
    <xf numFmtId="0" fontId="18" fillId="3" borderId="0" xfId="0" applyFont="1" applyFill="1" applyBorder="1" applyAlignment="1">
      <alignment horizontal="left" vertical="center"/>
    </xf>
    <xf numFmtId="0" fontId="0" fillId="0" borderId="1" xfId="0" applyBorder="1" applyAlignment="1">
      <alignment horizontal="center"/>
    </xf>
    <xf numFmtId="166" fontId="0" fillId="0" borderId="3" xfId="1" applyFont="1" applyBorder="1" applyAlignment="1">
      <alignment horizontal="center" vertical="center" wrapText="1"/>
    </xf>
    <xf numFmtId="166" fontId="0" fillId="0" borderId="3" xfId="1" applyFont="1" applyBorder="1" applyAlignment="1">
      <alignment horizontal="left" vertical="center" wrapText="1"/>
    </xf>
    <xf numFmtId="166" fontId="1" fillId="0" borderId="0" xfId="0" applyNumberFormat="1" applyFont="1" applyAlignment="1">
      <alignment horizontal="center" vertical="center" wrapText="1"/>
    </xf>
    <xf numFmtId="166" fontId="1" fillId="0" borderId="1" xfId="0" applyNumberFormat="1" applyFont="1" applyBorder="1" applyAlignment="1">
      <alignment horizontal="center" vertical="center" wrapText="1"/>
    </xf>
    <xf numFmtId="0" fontId="17" fillId="0" borderId="11" xfId="0" applyFont="1" applyBorder="1" applyAlignment="1">
      <alignment horizontal="left" wrapText="1"/>
    </xf>
    <xf numFmtId="0" fontId="17" fillId="0" borderId="12" xfId="0" applyFont="1" applyBorder="1" applyAlignment="1">
      <alignment horizontal="left" wrapText="1"/>
    </xf>
    <xf numFmtId="170" fontId="32" fillId="13" borderId="11" xfId="1" applyNumberFormat="1" applyFont="1" applyFill="1" applyBorder="1" applyAlignment="1">
      <alignment horizontal="center"/>
    </xf>
    <xf numFmtId="170" fontId="32" fillId="13" borderId="2" xfId="1" applyNumberFormat="1" applyFont="1" applyFill="1" applyBorder="1" applyAlignment="1">
      <alignment horizontal="center"/>
    </xf>
    <xf numFmtId="170" fontId="32" fillId="13" borderId="12" xfId="1" applyNumberFormat="1" applyFont="1" applyFill="1" applyBorder="1" applyAlignment="1">
      <alignment horizontal="center"/>
    </xf>
    <xf numFmtId="0" fontId="27" fillId="0" borderId="11" xfId="0" applyFont="1" applyBorder="1" applyAlignment="1">
      <alignment horizontal="left" wrapText="1"/>
    </xf>
    <xf numFmtId="0" fontId="27" fillId="0" borderId="12" xfId="0" applyFont="1" applyBorder="1" applyAlignment="1">
      <alignment horizontal="left" wrapText="1"/>
    </xf>
    <xf numFmtId="170" fontId="1" fillId="0" borderId="3" xfId="1" applyNumberFormat="1" applyFont="1" applyBorder="1" applyAlignment="1">
      <alignment horizontal="center"/>
    </xf>
    <xf numFmtId="171" fontId="0" fillId="0" borderId="3" xfId="1" applyNumberFormat="1" applyFont="1" applyBorder="1" applyAlignment="1">
      <alignment horizontal="center"/>
    </xf>
    <xf numFmtId="171" fontId="1" fillId="0" borderId="3" xfId="1" applyNumberFormat="1" applyFont="1" applyBorder="1" applyAlignment="1">
      <alignment horizontal="center"/>
    </xf>
    <xf numFmtId="170" fontId="35" fillId="3" borderId="3" xfId="1" applyNumberFormat="1" applyFont="1" applyFill="1" applyBorder="1" applyAlignment="1">
      <alignment horizontal="center"/>
    </xf>
    <xf numFmtId="170" fontId="23" fillId="3" borderId="3" xfId="1" applyNumberFormat="1" applyFont="1" applyFill="1" applyBorder="1" applyAlignment="1">
      <alignment horizontal="center"/>
    </xf>
    <xf numFmtId="167" fontId="0" fillId="0" borderId="3" xfId="1" applyNumberFormat="1" applyFont="1" applyBorder="1" applyAlignment="1">
      <alignment horizontal="center"/>
    </xf>
    <xf numFmtId="167" fontId="39" fillId="0" borderId="3" xfId="1" applyNumberFormat="1" applyFont="1" applyBorder="1" applyAlignment="1">
      <alignment horizontal="center"/>
    </xf>
    <xf numFmtId="167" fontId="40" fillId="0" borderId="3" xfId="1" applyNumberFormat="1" applyFont="1" applyBorder="1" applyAlignment="1">
      <alignment horizontal="center"/>
    </xf>
    <xf numFmtId="0" fontId="19" fillId="10" borderId="11"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10" borderId="12" xfId="0" applyFont="1" applyFill="1" applyBorder="1" applyAlignment="1">
      <alignment horizontal="center" vertical="center" wrapText="1"/>
    </xf>
    <xf numFmtId="170" fontId="35" fillId="3" borderId="0" xfId="1" applyNumberFormat="1" applyFont="1" applyFill="1" applyBorder="1" applyAlignment="1">
      <alignment horizontal="center"/>
    </xf>
    <xf numFmtId="170" fontId="0" fillId="0" borderId="3" xfId="1" applyNumberFormat="1" applyFont="1" applyBorder="1" applyAlignment="1">
      <alignment horizontal="center"/>
    </xf>
    <xf numFmtId="167" fontId="0" fillId="0" borderId="3" xfId="1" applyNumberFormat="1" applyFont="1" applyBorder="1" applyAlignment="1">
      <alignment horizontal="center" vertical="center"/>
    </xf>
    <xf numFmtId="0" fontId="8" fillId="10" borderId="1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12" xfId="0" applyFont="1" applyFill="1" applyBorder="1" applyAlignment="1">
      <alignment horizontal="center" vertical="center" wrapText="1"/>
    </xf>
    <xf numFmtId="170" fontId="37" fillId="0" borderId="11" xfId="1" applyNumberFormat="1" applyFont="1" applyBorder="1" applyAlignment="1">
      <alignment horizontal="left" vertical="center" wrapText="1"/>
    </xf>
    <xf numFmtId="170" fontId="37" fillId="0" borderId="12" xfId="1" applyNumberFormat="1" applyFont="1" applyBorder="1" applyAlignment="1">
      <alignment horizontal="left" vertical="center" wrapText="1"/>
    </xf>
    <xf numFmtId="171" fontId="1" fillId="8" borderId="3" xfId="1" applyNumberFormat="1" applyFont="1" applyFill="1" applyBorder="1" applyAlignment="1">
      <alignment horizontal="center"/>
    </xf>
    <xf numFmtId="0" fontId="12" fillId="10" borderId="9" xfId="0" applyFont="1" applyFill="1" applyBorder="1" applyAlignment="1">
      <alignment horizontal="center"/>
    </xf>
    <xf numFmtId="0" fontId="12" fillId="10" borderId="1" xfId="0" applyFont="1" applyFill="1" applyBorder="1" applyAlignment="1">
      <alignment horizontal="center"/>
    </xf>
    <xf numFmtId="0" fontId="12" fillId="10" borderId="10" xfId="0" applyFont="1" applyFill="1" applyBorder="1" applyAlignment="1">
      <alignment horizontal="center"/>
    </xf>
    <xf numFmtId="171" fontId="0" fillId="8" borderId="3" xfId="1" applyNumberFormat="1" applyFont="1" applyFill="1" applyBorder="1" applyAlignment="1">
      <alignment horizontal="center"/>
    </xf>
    <xf numFmtId="0" fontId="0" fillId="0" borderId="0" xfId="0" applyFill="1" applyBorder="1" applyAlignment="1">
      <alignment horizontal="left" wrapText="1"/>
    </xf>
    <xf numFmtId="170" fontId="18" fillId="0" borderId="0" xfId="1" applyNumberFormat="1" applyFont="1" applyFill="1" applyBorder="1" applyAlignment="1">
      <alignment horizontal="left" vertical="center" wrapText="1"/>
    </xf>
    <xf numFmtId="0" fontId="1" fillId="0" borderId="0" xfId="0" applyFont="1" applyFill="1" applyBorder="1" applyAlignment="1">
      <alignment horizontal="left" wrapText="1"/>
    </xf>
    <xf numFmtId="0" fontId="1" fillId="15" borderId="3" xfId="0" applyFont="1" applyFill="1" applyBorder="1" applyAlignment="1">
      <alignment horizontal="center"/>
    </xf>
  </cellXfs>
  <cellStyles count="9">
    <cellStyle name="Bueno" xfId="4" builtinId="26"/>
    <cellStyle name="Celda de comprobación" xfId="5" builtinId="23"/>
    <cellStyle name="Hipervínculo" xfId="3" builtinId="8"/>
    <cellStyle name="Millares" xfId="1" builtinId="3"/>
    <cellStyle name="Millares 2" xfId="7" xr:uid="{00000000-0005-0000-0000-000004000000}"/>
    <cellStyle name="Moneda" xfId="6" builtinId="4"/>
    <cellStyle name="Moneda 2" xfId="8" xr:uid="{00000000-0005-0000-0000-000006000000}"/>
    <cellStyle name="Normal" xfId="0" builtinId="0"/>
    <cellStyle name="Porcentaje" xfId="2" builtinId="5"/>
  </cellStyles>
  <dxfs count="91">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auto="1"/>
        </left>
        <right/>
        <top/>
        <bottom/>
        <vertical/>
        <horizontal/>
      </border>
    </dxf>
    <dxf>
      <font>
        <color theme="0"/>
      </font>
    </dxf>
    <dxf>
      <font>
        <color theme="0"/>
      </font>
    </dxf>
    <dxf>
      <font>
        <color theme="0"/>
      </font>
    </dxf>
    <dxf>
      <font>
        <color theme="0"/>
      </font>
    </dxf>
    <dxf>
      <font>
        <color theme="0"/>
      </font>
      <border>
        <left style="thin">
          <color auto="1"/>
        </left>
        <right style="thin">
          <color auto="1"/>
        </right>
        <top style="thin">
          <color auto="1"/>
        </top>
        <bottom style="thin">
          <color auto="1"/>
        </bottom>
        <vertical/>
        <horizontal/>
      </border>
    </dxf>
    <dxf>
      <font>
        <color theme="0"/>
      </font>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top/>
        <bottom/>
        <vertical/>
        <horizontal/>
      </border>
    </dxf>
    <dxf>
      <font>
        <color theme="0"/>
      </font>
      <fill>
        <patternFill>
          <bgColor theme="0"/>
        </patternFill>
      </fill>
      <border>
        <left style="thin">
          <color auto="1"/>
        </left>
        <right/>
        <top/>
        <bottom/>
        <vertical/>
        <horizontal/>
      </border>
    </dxf>
    <dxf>
      <font>
        <color theme="0"/>
      </font>
      <fill>
        <patternFill>
          <bgColor theme="0"/>
        </patternFill>
      </fill>
      <border>
        <left style="thin">
          <color auto="1"/>
        </left>
        <right/>
        <top/>
        <bottom/>
        <vertical/>
        <horizontal/>
      </border>
    </dxf>
    <dxf>
      <font>
        <color theme="0"/>
      </font>
      <fill>
        <patternFill>
          <bgColor theme="0"/>
        </patternFill>
      </fill>
      <border>
        <left style="thin">
          <color auto="1"/>
        </left>
        <right/>
        <top/>
        <bottom/>
        <vertical/>
        <horizontal/>
      </border>
    </dxf>
    <dxf>
      <font>
        <color theme="0"/>
      </font>
      <fill>
        <patternFill patternType="none">
          <bgColor auto="1"/>
        </patternFill>
      </fill>
      <border>
        <left/>
        <right/>
        <top/>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auto="1"/>
        </left>
        <right/>
        <top/>
        <bottom/>
        <vertical/>
        <horizontal/>
      </border>
    </dxf>
    <dxf>
      <font>
        <color theme="0"/>
      </font>
      <fill>
        <patternFill>
          <bgColor theme="0"/>
        </patternFill>
      </fill>
      <border>
        <left style="thin">
          <color auto="1"/>
        </left>
        <right/>
        <top/>
        <bottom/>
        <vertical/>
        <horizontal/>
      </border>
    </dxf>
    <dxf>
      <font>
        <color theme="0"/>
      </font>
      <fill>
        <patternFill>
          <bgColor theme="0"/>
        </patternFill>
      </fill>
      <border>
        <left style="thin">
          <color auto="1"/>
        </left>
        <right/>
        <top/>
        <bottom/>
        <vertical/>
        <horizontal/>
      </border>
    </dxf>
    <dxf>
      <font>
        <color theme="0"/>
      </font>
      <fill>
        <patternFill>
          <bgColor theme="0"/>
        </patternFill>
      </fill>
      <border>
        <left style="thin">
          <color auto="1"/>
        </left>
        <right/>
        <top/>
        <bottom/>
        <vertical/>
        <horizontal/>
      </border>
    </dxf>
    <dxf>
      <font>
        <color theme="0"/>
      </font>
      <fill>
        <patternFill patternType="none">
          <bgColor auto="1"/>
        </patternFill>
      </fill>
      <border>
        <left style="thin">
          <color auto="1"/>
        </left>
        <right/>
        <top/>
        <bottom/>
        <vertical/>
        <horizontal/>
      </border>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right/>
        <top style="thin">
          <color auto="1"/>
        </top>
        <bottom style="thin">
          <color auto="1"/>
        </bottom>
        <vertical/>
        <horizontal/>
      </border>
    </dxf>
    <dxf>
      <font>
        <color theme="0"/>
      </font>
      <border>
        <left/>
        <right/>
        <top/>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style="thin">
          <color auto="1"/>
        </top>
        <bottom style="thin">
          <color auto="1"/>
        </bottom>
        <vertical/>
        <horizontal/>
      </border>
    </dxf>
    <dxf>
      <font>
        <color theme="0"/>
      </font>
      <fill>
        <patternFill patternType="none">
          <bgColor auto="1"/>
        </patternFill>
      </fill>
      <border>
        <left style="thin">
          <color auto="1"/>
        </left>
        <right style="thin">
          <color auto="1"/>
        </right>
        <top/>
        <bottom/>
        <vertical/>
        <horizontal/>
      </border>
    </dxf>
    <dxf>
      <font>
        <color theme="0"/>
      </font>
      <fill>
        <patternFill patternType="none">
          <bgColor auto="1"/>
        </patternFill>
      </fill>
      <border>
        <left style="thin">
          <color auto="1"/>
        </left>
        <right style="thin">
          <color auto="1"/>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style="thin">
          <color auto="1"/>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border>
        <left/>
        <right/>
        <top/>
        <bottom style="thin">
          <color auto="1"/>
        </bottom>
        <vertical/>
        <horizontal/>
      </border>
    </dxf>
    <dxf>
      <font>
        <b/>
        <i val="0"/>
        <color rgb="FFFF0000"/>
      </font>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style="thin">
          <color auto="1"/>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style="thin">
          <color auto="1"/>
        </left>
        <right style="thin">
          <color auto="1"/>
        </right>
        <top/>
        <bottom/>
        <vertical/>
        <horizontal/>
      </border>
    </dxf>
    <dxf>
      <font>
        <color theme="0"/>
      </font>
      <fill>
        <patternFill patternType="none">
          <bgColor auto="1"/>
        </patternFill>
      </fill>
      <border>
        <left/>
        <right/>
        <top style="thin">
          <color auto="1"/>
        </top>
        <bottom style="thin">
          <color auto="1"/>
        </bottom>
        <vertical/>
        <horizontal/>
      </border>
    </dxf>
    <dxf>
      <font>
        <color theme="0"/>
      </font>
      <fill>
        <patternFill patternType="none">
          <bgColor auto="1"/>
        </patternFill>
      </fill>
      <border>
        <left/>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border>
        <left/>
        <right/>
        <top/>
        <bottom style="thin">
          <color auto="1"/>
        </bottom>
        <vertical/>
        <horizontal/>
      </border>
    </dxf>
    <dxf>
      <font>
        <b/>
        <i val="0"/>
        <color rgb="FFFF0000"/>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06.xml.rels><?xml version="1.0" encoding="UTF-8" standalone="yes"?>
<Relationships xmlns="http://schemas.openxmlformats.org/package/2006/relationships"><Relationship Id="rId1" Type="http://schemas.microsoft.com/office/2006/relationships/activeXControlBinary" Target="activeX306.bin"/></Relationships>
</file>

<file path=xl/activeX/_rels/activeX307.xml.rels><?xml version="1.0" encoding="UTF-8" standalone="yes"?>
<Relationships xmlns="http://schemas.openxmlformats.org/package/2006/relationships"><Relationship Id="rId1" Type="http://schemas.microsoft.com/office/2006/relationships/activeXControlBinary" Target="activeX307.bin"/></Relationships>
</file>

<file path=xl/activeX/_rels/activeX308.xml.rels><?xml version="1.0" encoding="UTF-8" standalone="yes"?>
<Relationships xmlns="http://schemas.openxmlformats.org/package/2006/relationships"><Relationship Id="rId1" Type="http://schemas.microsoft.com/office/2006/relationships/activeXControlBinary" Target="activeX308.bin"/></Relationships>
</file>

<file path=xl/activeX/_rels/activeX309.xml.rels><?xml version="1.0" encoding="UTF-8" standalone="yes"?>
<Relationships xmlns="http://schemas.openxmlformats.org/package/2006/relationships"><Relationship Id="rId1" Type="http://schemas.microsoft.com/office/2006/relationships/activeXControlBinary" Target="activeX309.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10.xml.rels><?xml version="1.0" encoding="UTF-8" standalone="yes"?>
<Relationships xmlns="http://schemas.openxmlformats.org/package/2006/relationships"><Relationship Id="rId1" Type="http://schemas.microsoft.com/office/2006/relationships/activeXControlBinary" Target="activeX310.bin"/></Relationships>
</file>

<file path=xl/activeX/_rels/activeX311.xml.rels><?xml version="1.0" encoding="UTF-8" standalone="yes"?>
<Relationships xmlns="http://schemas.openxmlformats.org/package/2006/relationships"><Relationship Id="rId1" Type="http://schemas.microsoft.com/office/2006/relationships/activeXControlBinary" Target="activeX311.bin"/></Relationships>
</file>

<file path=xl/activeX/_rels/activeX312.xml.rels><?xml version="1.0" encoding="UTF-8" standalone="yes"?>
<Relationships xmlns="http://schemas.openxmlformats.org/package/2006/relationships"><Relationship Id="rId1" Type="http://schemas.microsoft.com/office/2006/relationships/activeXControlBinary" Target="activeX312.bin"/></Relationships>
</file>

<file path=xl/activeX/_rels/activeX313.xml.rels><?xml version="1.0" encoding="UTF-8" standalone="yes"?>
<Relationships xmlns="http://schemas.openxmlformats.org/package/2006/relationships"><Relationship Id="rId1" Type="http://schemas.microsoft.com/office/2006/relationships/activeXControlBinary" Target="activeX313.bin"/></Relationships>
</file>

<file path=xl/activeX/_rels/activeX314.xml.rels><?xml version="1.0" encoding="UTF-8" standalone="yes"?>
<Relationships xmlns="http://schemas.openxmlformats.org/package/2006/relationships"><Relationship Id="rId1" Type="http://schemas.microsoft.com/office/2006/relationships/activeXControlBinary" Target="activeX314.bin"/></Relationships>
</file>

<file path=xl/activeX/_rels/activeX315.xml.rels><?xml version="1.0" encoding="UTF-8" standalone="yes"?>
<Relationships xmlns="http://schemas.openxmlformats.org/package/2006/relationships"><Relationship Id="rId1" Type="http://schemas.microsoft.com/office/2006/relationships/activeXControlBinary" Target="activeX315.bin"/></Relationships>
</file>

<file path=xl/activeX/_rels/activeX316.xml.rels><?xml version="1.0" encoding="UTF-8" standalone="yes"?>
<Relationships xmlns="http://schemas.openxmlformats.org/package/2006/relationships"><Relationship Id="rId1" Type="http://schemas.microsoft.com/office/2006/relationships/activeXControlBinary" Target="activeX316.bin"/></Relationships>
</file>

<file path=xl/activeX/_rels/activeX317.xml.rels><?xml version="1.0" encoding="UTF-8" standalone="yes"?>
<Relationships xmlns="http://schemas.openxmlformats.org/package/2006/relationships"><Relationship Id="rId1" Type="http://schemas.microsoft.com/office/2006/relationships/activeXControlBinary" Target="activeX317.bin"/></Relationships>
</file>

<file path=xl/activeX/_rels/activeX318.xml.rels><?xml version="1.0" encoding="UTF-8" standalone="yes"?>
<Relationships xmlns="http://schemas.openxmlformats.org/package/2006/relationships"><Relationship Id="rId1" Type="http://schemas.microsoft.com/office/2006/relationships/activeXControlBinary" Target="activeX318.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00.xml><?xml version="1.0" encoding="utf-8"?>
<ax:ocx xmlns:ax="http://schemas.microsoft.com/office/2006/activeX" xmlns:r="http://schemas.openxmlformats.org/officeDocument/2006/relationships" ax:classid="{8BD21D50-EC42-11CE-9E0D-00AA006002F3}" ax:persistence="persistStreamInit" r:id="rId1"/>
</file>

<file path=xl/activeX/activeX101.xml><?xml version="1.0" encoding="utf-8"?>
<ax:ocx xmlns:ax="http://schemas.microsoft.com/office/2006/activeX" xmlns:r="http://schemas.openxmlformats.org/officeDocument/2006/relationships" ax:classid="{8BD21D50-EC42-11CE-9E0D-00AA006002F3}" ax:persistence="persistStreamInit" r:id="rId1"/>
</file>

<file path=xl/activeX/activeX102.xml><?xml version="1.0" encoding="utf-8"?>
<ax:ocx xmlns:ax="http://schemas.microsoft.com/office/2006/activeX" xmlns:r="http://schemas.openxmlformats.org/officeDocument/2006/relationships" ax:classid="{8BD21D50-EC42-11CE-9E0D-00AA006002F3}" ax:persistence="persistStreamInit" r:id="rId1"/>
</file>

<file path=xl/activeX/activeX103.xml><?xml version="1.0" encoding="utf-8"?>
<ax:ocx xmlns:ax="http://schemas.microsoft.com/office/2006/activeX" xmlns:r="http://schemas.openxmlformats.org/officeDocument/2006/relationships" ax:classid="{8BD21D50-EC42-11CE-9E0D-00AA006002F3}" ax:persistence="persistStreamInit" r:id="rId1"/>
</file>

<file path=xl/activeX/activeX104.xml><?xml version="1.0" encoding="utf-8"?>
<ax:ocx xmlns:ax="http://schemas.microsoft.com/office/2006/activeX" xmlns:r="http://schemas.openxmlformats.org/officeDocument/2006/relationships" ax:classid="{8BD21D50-EC42-11CE-9E0D-00AA006002F3}" ax:persistence="persistStreamInit" r:id="rId1"/>
</file>

<file path=xl/activeX/activeX105.xml><?xml version="1.0" encoding="utf-8"?>
<ax:ocx xmlns:ax="http://schemas.microsoft.com/office/2006/activeX" xmlns:r="http://schemas.openxmlformats.org/officeDocument/2006/relationships" ax:classid="{8BD21D50-EC42-11CE-9E0D-00AA006002F3}" ax:persistence="persistStreamInit" r:id="rId1"/>
</file>

<file path=xl/activeX/activeX106.xml><?xml version="1.0" encoding="utf-8"?>
<ax:ocx xmlns:ax="http://schemas.microsoft.com/office/2006/activeX" xmlns:r="http://schemas.openxmlformats.org/officeDocument/2006/relationships" ax:classid="{8BD21D50-EC42-11CE-9E0D-00AA006002F3}" ax:persistence="persistStreamInit" r:id="rId1"/>
</file>

<file path=xl/activeX/activeX107.xml><?xml version="1.0" encoding="utf-8"?>
<ax:ocx xmlns:ax="http://schemas.microsoft.com/office/2006/activeX" xmlns:r="http://schemas.openxmlformats.org/officeDocument/2006/relationships" ax:classid="{8BD21D50-EC42-11CE-9E0D-00AA006002F3}" ax:persistence="persistStreamInit" r:id="rId1"/>
</file>

<file path=xl/activeX/activeX108.xml><?xml version="1.0" encoding="utf-8"?>
<ax:ocx xmlns:ax="http://schemas.microsoft.com/office/2006/activeX" xmlns:r="http://schemas.openxmlformats.org/officeDocument/2006/relationships" ax:classid="{8BD21D50-EC42-11CE-9E0D-00AA006002F3}" ax:persistence="persistStreamInit" r:id="rId1"/>
</file>

<file path=xl/activeX/activeX109.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10.xml><?xml version="1.0" encoding="utf-8"?>
<ax:ocx xmlns:ax="http://schemas.microsoft.com/office/2006/activeX" xmlns:r="http://schemas.openxmlformats.org/officeDocument/2006/relationships" ax:classid="{8BD21D50-EC42-11CE-9E0D-00AA006002F3}" ax:persistence="persistStreamInit" r:id="rId1"/>
</file>

<file path=xl/activeX/activeX111.xml><?xml version="1.0" encoding="utf-8"?>
<ax:ocx xmlns:ax="http://schemas.microsoft.com/office/2006/activeX" xmlns:r="http://schemas.openxmlformats.org/officeDocument/2006/relationships" ax:classid="{8BD21D50-EC42-11CE-9E0D-00AA006002F3}" ax:persistence="persistStreamInit" r:id="rId1"/>
</file>

<file path=xl/activeX/activeX112.xml><?xml version="1.0" encoding="utf-8"?>
<ax:ocx xmlns:ax="http://schemas.microsoft.com/office/2006/activeX" xmlns:r="http://schemas.openxmlformats.org/officeDocument/2006/relationships" ax:classid="{8BD21D50-EC42-11CE-9E0D-00AA006002F3}" ax:persistence="persistStreamInit" r:id="rId1"/>
</file>

<file path=xl/activeX/activeX113.xml><?xml version="1.0" encoding="utf-8"?>
<ax:ocx xmlns:ax="http://schemas.microsoft.com/office/2006/activeX" xmlns:r="http://schemas.openxmlformats.org/officeDocument/2006/relationships" ax:classid="{8BD21D50-EC42-11CE-9E0D-00AA006002F3}" ax:persistence="persistStreamInit" r:id="rId1"/>
</file>

<file path=xl/activeX/activeX114.xml><?xml version="1.0" encoding="utf-8"?>
<ax:ocx xmlns:ax="http://schemas.microsoft.com/office/2006/activeX" xmlns:r="http://schemas.openxmlformats.org/officeDocument/2006/relationships" ax:classid="{8BD21D50-EC42-11CE-9E0D-00AA006002F3}" ax:persistence="persistStreamInit" r:id="rId1"/>
</file>

<file path=xl/activeX/activeX115.xml><?xml version="1.0" encoding="utf-8"?>
<ax:ocx xmlns:ax="http://schemas.microsoft.com/office/2006/activeX" xmlns:r="http://schemas.openxmlformats.org/officeDocument/2006/relationships" ax:classid="{8BD21D50-EC42-11CE-9E0D-00AA006002F3}" ax:persistence="persistStreamInit" r:id="rId1"/>
</file>

<file path=xl/activeX/activeX116.xml><?xml version="1.0" encoding="utf-8"?>
<ax:ocx xmlns:ax="http://schemas.microsoft.com/office/2006/activeX" xmlns:r="http://schemas.openxmlformats.org/officeDocument/2006/relationships" ax:classid="{8BD21D50-EC42-11CE-9E0D-00AA006002F3}" ax:persistence="persistStreamInit" r:id="rId1"/>
</file>

<file path=xl/activeX/activeX117.xml><?xml version="1.0" encoding="utf-8"?>
<ax:ocx xmlns:ax="http://schemas.microsoft.com/office/2006/activeX" xmlns:r="http://schemas.openxmlformats.org/officeDocument/2006/relationships" ax:classid="{8BD21D50-EC42-11CE-9E0D-00AA006002F3}" ax:persistence="persistStreamInit" r:id="rId1"/>
</file>

<file path=xl/activeX/activeX118.xml><?xml version="1.0" encoding="utf-8"?>
<ax:ocx xmlns:ax="http://schemas.microsoft.com/office/2006/activeX" xmlns:r="http://schemas.openxmlformats.org/officeDocument/2006/relationships" ax:classid="{8BD21D50-EC42-11CE-9E0D-00AA006002F3}" ax:persistence="persistStreamInit" r:id="rId1"/>
</file>

<file path=xl/activeX/activeX119.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20.xml><?xml version="1.0" encoding="utf-8"?>
<ax:ocx xmlns:ax="http://schemas.microsoft.com/office/2006/activeX" xmlns:r="http://schemas.openxmlformats.org/officeDocument/2006/relationships" ax:classid="{8BD21D50-EC42-11CE-9E0D-00AA006002F3}" ax:persistence="persistStreamInit" r:id="rId1"/>
</file>

<file path=xl/activeX/activeX121.xml><?xml version="1.0" encoding="utf-8"?>
<ax:ocx xmlns:ax="http://schemas.microsoft.com/office/2006/activeX" xmlns:r="http://schemas.openxmlformats.org/officeDocument/2006/relationships" ax:classid="{8BD21D50-EC42-11CE-9E0D-00AA006002F3}" ax:persistence="persistStreamInit" r:id="rId1"/>
</file>

<file path=xl/activeX/activeX122.xml><?xml version="1.0" encoding="utf-8"?>
<ax:ocx xmlns:ax="http://schemas.microsoft.com/office/2006/activeX" xmlns:r="http://schemas.openxmlformats.org/officeDocument/2006/relationships" ax:classid="{8BD21D50-EC42-11CE-9E0D-00AA006002F3}" ax:persistence="persistStreamInit" r:id="rId1"/>
</file>

<file path=xl/activeX/activeX123.xml><?xml version="1.0" encoding="utf-8"?>
<ax:ocx xmlns:ax="http://schemas.microsoft.com/office/2006/activeX" xmlns:r="http://schemas.openxmlformats.org/officeDocument/2006/relationships" ax:classid="{8BD21D50-EC42-11CE-9E0D-00AA006002F3}" ax:persistence="persistStreamInit" r:id="rId1"/>
</file>

<file path=xl/activeX/activeX124.xml><?xml version="1.0" encoding="utf-8"?>
<ax:ocx xmlns:ax="http://schemas.microsoft.com/office/2006/activeX" xmlns:r="http://schemas.openxmlformats.org/officeDocument/2006/relationships" ax:classid="{8BD21D50-EC42-11CE-9E0D-00AA006002F3}" ax:persistence="persistStreamInit" r:id="rId1"/>
</file>

<file path=xl/activeX/activeX125.xml><?xml version="1.0" encoding="utf-8"?>
<ax:ocx xmlns:ax="http://schemas.microsoft.com/office/2006/activeX" xmlns:r="http://schemas.openxmlformats.org/officeDocument/2006/relationships" ax:classid="{8BD21D50-EC42-11CE-9E0D-00AA006002F3}" ax:persistence="persistStreamInit" r:id="rId1"/>
</file>

<file path=xl/activeX/activeX126.xml><?xml version="1.0" encoding="utf-8"?>
<ax:ocx xmlns:ax="http://schemas.microsoft.com/office/2006/activeX" xmlns:r="http://schemas.openxmlformats.org/officeDocument/2006/relationships" ax:classid="{8BD21D50-EC42-11CE-9E0D-00AA006002F3}" ax:persistence="persistStreamInit" r:id="rId1"/>
</file>

<file path=xl/activeX/activeX127.xml><?xml version="1.0" encoding="utf-8"?>
<ax:ocx xmlns:ax="http://schemas.microsoft.com/office/2006/activeX" xmlns:r="http://schemas.openxmlformats.org/officeDocument/2006/relationships" ax:classid="{8BD21D50-EC42-11CE-9E0D-00AA006002F3}" ax:persistence="persistStreamInit" r:id="rId1"/>
</file>

<file path=xl/activeX/activeX128.xml><?xml version="1.0" encoding="utf-8"?>
<ax:ocx xmlns:ax="http://schemas.microsoft.com/office/2006/activeX" xmlns:r="http://schemas.openxmlformats.org/officeDocument/2006/relationships" ax:classid="{8BD21D50-EC42-11CE-9E0D-00AA006002F3}" ax:persistence="persistStreamInit" r:id="rId1"/>
</file>

<file path=xl/activeX/activeX129.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30.xml><?xml version="1.0" encoding="utf-8"?>
<ax:ocx xmlns:ax="http://schemas.microsoft.com/office/2006/activeX" xmlns:r="http://schemas.openxmlformats.org/officeDocument/2006/relationships" ax:classid="{8BD21D50-EC42-11CE-9E0D-00AA006002F3}" ax:persistence="persistStreamInit" r:id="rId1"/>
</file>

<file path=xl/activeX/activeX131.xml><?xml version="1.0" encoding="utf-8"?>
<ax:ocx xmlns:ax="http://schemas.microsoft.com/office/2006/activeX" xmlns:r="http://schemas.openxmlformats.org/officeDocument/2006/relationships" ax:classid="{8BD21D50-EC42-11CE-9E0D-00AA006002F3}" ax:persistence="persistStreamInit" r:id="rId1"/>
</file>

<file path=xl/activeX/activeX132.xml><?xml version="1.0" encoding="utf-8"?>
<ax:ocx xmlns:ax="http://schemas.microsoft.com/office/2006/activeX" xmlns:r="http://schemas.openxmlformats.org/officeDocument/2006/relationships" ax:classid="{8BD21D50-EC42-11CE-9E0D-00AA006002F3}" ax:persistence="persistStreamInit" r:id="rId1"/>
</file>

<file path=xl/activeX/activeX133.xml><?xml version="1.0" encoding="utf-8"?>
<ax:ocx xmlns:ax="http://schemas.microsoft.com/office/2006/activeX" xmlns:r="http://schemas.openxmlformats.org/officeDocument/2006/relationships" ax:classid="{8BD21D50-EC42-11CE-9E0D-00AA006002F3}" ax:persistence="persistStreamInit" r:id="rId1"/>
</file>

<file path=xl/activeX/activeX134.xml><?xml version="1.0" encoding="utf-8"?>
<ax:ocx xmlns:ax="http://schemas.microsoft.com/office/2006/activeX" xmlns:r="http://schemas.openxmlformats.org/officeDocument/2006/relationships" ax:classid="{8BD21D50-EC42-11CE-9E0D-00AA006002F3}" ax:persistence="persistStreamInit" r:id="rId1"/>
</file>

<file path=xl/activeX/activeX135.xml><?xml version="1.0" encoding="utf-8"?>
<ax:ocx xmlns:ax="http://schemas.microsoft.com/office/2006/activeX" xmlns:r="http://schemas.openxmlformats.org/officeDocument/2006/relationships" ax:classid="{8BD21D50-EC42-11CE-9E0D-00AA006002F3}" ax:persistence="persistStreamInit" r:id="rId1"/>
</file>

<file path=xl/activeX/activeX136.xml><?xml version="1.0" encoding="utf-8"?>
<ax:ocx xmlns:ax="http://schemas.microsoft.com/office/2006/activeX" xmlns:r="http://schemas.openxmlformats.org/officeDocument/2006/relationships" ax:classid="{8BD21D50-EC42-11CE-9E0D-00AA006002F3}" ax:persistence="persistStreamInit" r:id="rId1"/>
</file>

<file path=xl/activeX/activeX137.xml><?xml version="1.0" encoding="utf-8"?>
<ax:ocx xmlns:ax="http://schemas.microsoft.com/office/2006/activeX" xmlns:r="http://schemas.openxmlformats.org/officeDocument/2006/relationships" ax:classid="{8BD21D50-EC42-11CE-9E0D-00AA006002F3}" ax:persistence="persistStreamInit" r:id="rId1"/>
</file>

<file path=xl/activeX/activeX138.xml><?xml version="1.0" encoding="utf-8"?>
<ax:ocx xmlns:ax="http://schemas.microsoft.com/office/2006/activeX" xmlns:r="http://schemas.openxmlformats.org/officeDocument/2006/relationships" ax:classid="{8BD21D50-EC42-11CE-9E0D-00AA006002F3}" ax:persistence="persistStreamInit" r:id="rId1"/>
</file>

<file path=xl/activeX/activeX139.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40.xml><?xml version="1.0" encoding="utf-8"?>
<ax:ocx xmlns:ax="http://schemas.microsoft.com/office/2006/activeX" xmlns:r="http://schemas.openxmlformats.org/officeDocument/2006/relationships" ax:classid="{8BD21D50-EC42-11CE-9E0D-00AA006002F3}" ax:persistence="persistStreamInit" r:id="rId1"/>
</file>

<file path=xl/activeX/activeX141.xml><?xml version="1.0" encoding="utf-8"?>
<ax:ocx xmlns:ax="http://schemas.microsoft.com/office/2006/activeX" xmlns:r="http://schemas.openxmlformats.org/officeDocument/2006/relationships" ax:classid="{8BD21D50-EC42-11CE-9E0D-00AA006002F3}" ax:persistence="persistStreamInit" r:id="rId1"/>
</file>

<file path=xl/activeX/activeX142.xml><?xml version="1.0" encoding="utf-8"?>
<ax:ocx xmlns:ax="http://schemas.microsoft.com/office/2006/activeX" xmlns:r="http://schemas.openxmlformats.org/officeDocument/2006/relationships" ax:classid="{8BD21D50-EC42-11CE-9E0D-00AA006002F3}" ax:persistence="persistStreamInit" r:id="rId1"/>
</file>

<file path=xl/activeX/activeX143.xml><?xml version="1.0" encoding="utf-8"?>
<ax:ocx xmlns:ax="http://schemas.microsoft.com/office/2006/activeX" xmlns:r="http://schemas.openxmlformats.org/officeDocument/2006/relationships" ax:classid="{8BD21D50-EC42-11CE-9E0D-00AA006002F3}" ax:persistence="persistStreamInit" r:id="rId1"/>
</file>

<file path=xl/activeX/activeX144.xml><?xml version="1.0" encoding="utf-8"?>
<ax:ocx xmlns:ax="http://schemas.microsoft.com/office/2006/activeX" xmlns:r="http://schemas.openxmlformats.org/officeDocument/2006/relationships" ax:classid="{8BD21D50-EC42-11CE-9E0D-00AA006002F3}" ax:persistence="persistStreamInit" r:id="rId1"/>
</file>

<file path=xl/activeX/activeX145.xml><?xml version="1.0" encoding="utf-8"?>
<ax:ocx xmlns:ax="http://schemas.microsoft.com/office/2006/activeX" xmlns:r="http://schemas.openxmlformats.org/officeDocument/2006/relationships" ax:classid="{8BD21D50-EC42-11CE-9E0D-00AA006002F3}" ax:persistence="persistStreamInit" r:id="rId1"/>
</file>

<file path=xl/activeX/activeX146.xml><?xml version="1.0" encoding="utf-8"?>
<ax:ocx xmlns:ax="http://schemas.microsoft.com/office/2006/activeX" xmlns:r="http://schemas.openxmlformats.org/officeDocument/2006/relationships" ax:classid="{8BD21D50-EC42-11CE-9E0D-00AA006002F3}" ax:persistence="persistStreamInit" r:id="rId1"/>
</file>

<file path=xl/activeX/activeX147.xml><?xml version="1.0" encoding="utf-8"?>
<ax:ocx xmlns:ax="http://schemas.microsoft.com/office/2006/activeX" xmlns:r="http://schemas.openxmlformats.org/officeDocument/2006/relationships" ax:classid="{8BD21D50-EC42-11CE-9E0D-00AA006002F3}" ax:persistence="persistStreamInit" r:id="rId1"/>
</file>

<file path=xl/activeX/activeX148.xml><?xml version="1.0" encoding="utf-8"?>
<ax:ocx xmlns:ax="http://schemas.microsoft.com/office/2006/activeX" xmlns:r="http://schemas.openxmlformats.org/officeDocument/2006/relationships" ax:classid="{8BD21D50-EC42-11CE-9E0D-00AA006002F3}" ax:persistence="persistStreamInit" r:id="rId1"/>
</file>

<file path=xl/activeX/activeX149.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50.xml><?xml version="1.0" encoding="utf-8"?>
<ax:ocx xmlns:ax="http://schemas.microsoft.com/office/2006/activeX" xmlns:r="http://schemas.openxmlformats.org/officeDocument/2006/relationships" ax:classid="{8BD21D50-EC42-11CE-9E0D-00AA006002F3}" ax:persistence="persistStreamInit" r:id="rId1"/>
</file>

<file path=xl/activeX/activeX151.xml><?xml version="1.0" encoding="utf-8"?>
<ax:ocx xmlns:ax="http://schemas.microsoft.com/office/2006/activeX" xmlns:r="http://schemas.openxmlformats.org/officeDocument/2006/relationships" ax:classid="{8BD21D50-EC42-11CE-9E0D-00AA006002F3}" ax:persistence="persistStreamInit" r:id="rId1"/>
</file>

<file path=xl/activeX/activeX152.xml><?xml version="1.0" encoding="utf-8"?>
<ax:ocx xmlns:ax="http://schemas.microsoft.com/office/2006/activeX" xmlns:r="http://schemas.openxmlformats.org/officeDocument/2006/relationships" ax:classid="{8BD21D50-EC42-11CE-9E0D-00AA006002F3}" ax:persistence="persistStreamInit" r:id="rId1"/>
</file>

<file path=xl/activeX/activeX153.xml><?xml version="1.0" encoding="utf-8"?>
<ax:ocx xmlns:ax="http://schemas.microsoft.com/office/2006/activeX" xmlns:r="http://schemas.openxmlformats.org/officeDocument/2006/relationships" ax:classid="{8BD21D50-EC42-11CE-9E0D-00AA006002F3}" ax:persistence="persistStreamInit" r:id="rId1"/>
</file>

<file path=xl/activeX/activeX154.xml><?xml version="1.0" encoding="utf-8"?>
<ax:ocx xmlns:ax="http://schemas.microsoft.com/office/2006/activeX" xmlns:r="http://schemas.openxmlformats.org/officeDocument/2006/relationships" ax:classid="{8BD21D50-EC42-11CE-9E0D-00AA006002F3}" ax:persistence="persistStreamInit" r:id="rId1"/>
</file>

<file path=xl/activeX/activeX155.xml><?xml version="1.0" encoding="utf-8"?>
<ax:ocx xmlns:ax="http://schemas.microsoft.com/office/2006/activeX" xmlns:r="http://schemas.openxmlformats.org/officeDocument/2006/relationships" ax:classid="{8BD21D50-EC42-11CE-9E0D-00AA006002F3}" ax:persistence="persistStreamInit" r:id="rId1"/>
</file>

<file path=xl/activeX/activeX156.xml><?xml version="1.0" encoding="utf-8"?>
<ax:ocx xmlns:ax="http://schemas.microsoft.com/office/2006/activeX" xmlns:r="http://schemas.openxmlformats.org/officeDocument/2006/relationships" ax:classid="{8BD21D50-EC42-11CE-9E0D-00AA006002F3}" ax:persistence="persistStreamInit" r:id="rId1"/>
</file>

<file path=xl/activeX/activeX157.xml><?xml version="1.0" encoding="utf-8"?>
<ax:ocx xmlns:ax="http://schemas.microsoft.com/office/2006/activeX" xmlns:r="http://schemas.openxmlformats.org/officeDocument/2006/relationships" ax:classid="{8BD21D50-EC42-11CE-9E0D-00AA006002F3}" ax:persistence="persistStreamInit" r:id="rId1"/>
</file>

<file path=xl/activeX/activeX158.xml><?xml version="1.0" encoding="utf-8"?>
<ax:ocx xmlns:ax="http://schemas.microsoft.com/office/2006/activeX" xmlns:r="http://schemas.openxmlformats.org/officeDocument/2006/relationships" ax:classid="{8BD21D50-EC42-11CE-9E0D-00AA006002F3}" ax:persistence="persistStreamInit" r:id="rId1"/>
</file>

<file path=xl/activeX/activeX159.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60.xml><?xml version="1.0" encoding="utf-8"?>
<ax:ocx xmlns:ax="http://schemas.microsoft.com/office/2006/activeX" xmlns:r="http://schemas.openxmlformats.org/officeDocument/2006/relationships" ax:classid="{8BD21D50-EC42-11CE-9E0D-00AA006002F3}" ax:persistence="persistStreamInit" r:id="rId1"/>
</file>

<file path=xl/activeX/activeX161.xml><?xml version="1.0" encoding="utf-8"?>
<ax:ocx xmlns:ax="http://schemas.microsoft.com/office/2006/activeX" xmlns:r="http://schemas.openxmlformats.org/officeDocument/2006/relationships" ax:classid="{8BD21D50-EC42-11CE-9E0D-00AA006002F3}" ax:persistence="persistStreamInit" r:id="rId1"/>
</file>

<file path=xl/activeX/activeX162.xml><?xml version="1.0" encoding="utf-8"?>
<ax:ocx xmlns:ax="http://schemas.microsoft.com/office/2006/activeX" xmlns:r="http://schemas.openxmlformats.org/officeDocument/2006/relationships" ax:classid="{8BD21D50-EC42-11CE-9E0D-00AA006002F3}" ax:persistence="persistStreamInit" r:id="rId1"/>
</file>

<file path=xl/activeX/activeX163.xml><?xml version="1.0" encoding="utf-8"?>
<ax:ocx xmlns:ax="http://schemas.microsoft.com/office/2006/activeX" xmlns:r="http://schemas.openxmlformats.org/officeDocument/2006/relationships" ax:classid="{8BD21D50-EC42-11CE-9E0D-00AA006002F3}" ax:persistence="persistStreamInit" r:id="rId1"/>
</file>

<file path=xl/activeX/activeX164.xml><?xml version="1.0" encoding="utf-8"?>
<ax:ocx xmlns:ax="http://schemas.microsoft.com/office/2006/activeX" xmlns:r="http://schemas.openxmlformats.org/officeDocument/2006/relationships" ax:classid="{8BD21D50-EC42-11CE-9E0D-00AA006002F3}" ax:persistence="persistStreamInit" r:id="rId1"/>
</file>

<file path=xl/activeX/activeX165.xml><?xml version="1.0" encoding="utf-8"?>
<ax:ocx xmlns:ax="http://schemas.microsoft.com/office/2006/activeX" xmlns:r="http://schemas.openxmlformats.org/officeDocument/2006/relationships" ax:classid="{8BD21D50-EC42-11CE-9E0D-00AA006002F3}" ax:persistence="persistStreamInit" r:id="rId1"/>
</file>

<file path=xl/activeX/activeX166.xml><?xml version="1.0" encoding="utf-8"?>
<ax:ocx xmlns:ax="http://schemas.microsoft.com/office/2006/activeX" xmlns:r="http://schemas.openxmlformats.org/officeDocument/2006/relationships" ax:classid="{8BD21D50-EC42-11CE-9E0D-00AA006002F3}" ax:persistence="persistStreamInit" r:id="rId1"/>
</file>

<file path=xl/activeX/activeX167.xml><?xml version="1.0" encoding="utf-8"?>
<ax:ocx xmlns:ax="http://schemas.microsoft.com/office/2006/activeX" xmlns:r="http://schemas.openxmlformats.org/officeDocument/2006/relationships" ax:classid="{8BD21D50-EC42-11CE-9E0D-00AA006002F3}" ax:persistence="persistStreamInit" r:id="rId1"/>
</file>

<file path=xl/activeX/activeX168.xml><?xml version="1.0" encoding="utf-8"?>
<ax:ocx xmlns:ax="http://schemas.microsoft.com/office/2006/activeX" xmlns:r="http://schemas.openxmlformats.org/officeDocument/2006/relationships" ax:classid="{8BD21D50-EC42-11CE-9E0D-00AA006002F3}" ax:persistence="persistStreamInit" r:id="rId1"/>
</file>

<file path=xl/activeX/activeX169.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70.xml><?xml version="1.0" encoding="utf-8"?>
<ax:ocx xmlns:ax="http://schemas.microsoft.com/office/2006/activeX" xmlns:r="http://schemas.openxmlformats.org/officeDocument/2006/relationships" ax:classid="{8BD21D50-EC42-11CE-9E0D-00AA006002F3}" ax:persistence="persistStreamInit" r:id="rId1"/>
</file>

<file path=xl/activeX/activeX171.xml><?xml version="1.0" encoding="utf-8"?>
<ax:ocx xmlns:ax="http://schemas.microsoft.com/office/2006/activeX" xmlns:r="http://schemas.openxmlformats.org/officeDocument/2006/relationships" ax:classid="{8BD21D50-EC42-11CE-9E0D-00AA006002F3}" ax:persistence="persistStreamInit" r:id="rId1"/>
</file>

<file path=xl/activeX/activeX172.xml><?xml version="1.0" encoding="utf-8"?>
<ax:ocx xmlns:ax="http://schemas.microsoft.com/office/2006/activeX" xmlns:r="http://schemas.openxmlformats.org/officeDocument/2006/relationships" ax:classid="{8BD21D50-EC42-11CE-9E0D-00AA006002F3}" ax:persistence="persistStreamInit" r:id="rId1"/>
</file>

<file path=xl/activeX/activeX173.xml><?xml version="1.0" encoding="utf-8"?>
<ax:ocx xmlns:ax="http://schemas.microsoft.com/office/2006/activeX" xmlns:r="http://schemas.openxmlformats.org/officeDocument/2006/relationships" ax:classid="{8BD21D50-EC42-11CE-9E0D-00AA006002F3}" ax:persistence="persistStreamInit" r:id="rId1"/>
</file>

<file path=xl/activeX/activeX174.xml><?xml version="1.0" encoding="utf-8"?>
<ax:ocx xmlns:ax="http://schemas.microsoft.com/office/2006/activeX" xmlns:r="http://schemas.openxmlformats.org/officeDocument/2006/relationships" ax:classid="{8BD21D50-EC42-11CE-9E0D-00AA006002F3}" ax:persistence="persistStreamInit" r:id="rId1"/>
</file>

<file path=xl/activeX/activeX175.xml><?xml version="1.0" encoding="utf-8"?>
<ax:ocx xmlns:ax="http://schemas.microsoft.com/office/2006/activeX" xmlns:r="http://schemas.openxmlformats.org/officeDocument/2006/relationships" ax:classid="{8BD21D50-EC42-11CE-9E0D-00AA006002F3}" ax:persistence="persistStreamInit" r:id="rId1"/>
</file>

<file path=xl/activeX/activeX176.xml><?xml version="1.0" encoding="utf-8"?>
<ax:ocx xmlns:ax="http://schemas.microsoft.com/office/2006/activeX" xmlns:r="http://schemas.openxmlformats.org/officeDocument/2006/relationships" ax:classid="{8BD21D50-EC42-11CE-9E0D-00AA006002F3}" ax:persistence="persistStreamInit" r:id="rId1"/>
</file>

<file path=xl/activeX/activeX177.xml><?xml version="1.0" encoding="utf-8"?>
<ax:ocx xmlns:ax="http://schemas.microsoft.com/office/2006/activeX" xmlns:r="http://schemas.openxmlformats.org/officeDocument/2006/relationships" ax:classid="{8BD21D50-EC42-11CE-9E0D-00AA006002F3}" ax:persistence="persistStreamInit" r:id="rId1"/>
</file>

<file path=xl/activeX/activeX178.xml><?xml version="1.0" encoding="utf-8"?>
<ax:ocx xmlns:ax="http://schemas.microsoft.com/office/2006/activeX" xmlns:r="http://schemas.openxmlformats.org/officeDocument/2006/relationships" ax:classid="{8BD21D50-EC42-11CE-9E0D-00AA006002F3}" ax:persistence="persistStreamInit" r:id="rId1"/>
</file>

<file path=xl/activeX/activeX179.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80.xml><?xml version="1.0" encoding="utf-8"?>
<ax:ocx xmlns:ax="http://schemas.microsoft.com/office/2006/activeX" xmlns:r="http://schemas.openxmlformats.org/officeDocument/2006/relationships" ax:classid="{8BD21D50-EC42-11CE-9E0D-00AA006002F3}" ax:persistence="persistStreamInit" r:id="rId1"/>
</file>

<file path=xl/activeX/activeX181.xml><?xml version="1.0" encoding="utf-8"?>
<ax:ocx xmlns:ax="http://schemas.microsoft.com/office/2006/activeX" xmlns:r="http://schemas.openxmlformats.org/officeDocument/2006/relationships" ax:classid="{8BD21D50-EC42-11CE-9E0D-00AA006002F3}" ax:persistence="persistStreamInit" r:id="rId1"/>
</file>

<file path=xl/activeX/activeX182.xml><?xml version="1.0" encoding="utf-8"?>
<ax:ocx xmlns:ax="http://schemas.microsoft.com/office/2006/activeX" xmlns:r="http://schemas.openxmlformats.org/officeDocument/2006/relationships" ax:classid="{8BD21D50-EC42-11CE-9E0D-00AA006002F3}" ax:persistence="persistStreamInit" r:id="rId1"/>
</file>

<file path=xl/activeX/activeX183.xml><?xml version="1.0" encoding="utf-8"?>
<ax:ocx xmlns:ax="http://schemas.microsoft.com/office/2006/activeX" xmlns:r="http://schemas.openxmlformats.org/officeDocument/2006/relationships" ax:classid="{8BD21D50-EC42-11CE-9E0D-00AA006002F3}" ax:persistence="persistStreamInit" r:id="rId1"/>
</file>

<file path=xl/activeX/activeX184.xml><?xml version="1.0" encoding="utf-8"?>
<ax:ocx xmlns:ax="http://schemas.microsoft.com/office/2006/activeX" xmlns:r="http://schemas.openxmlformats.org/officeDocument/2006/relationships" ax:classid="{8BD21D50-EC42-11CE-9E0D-00AA006002F3}" ax:persistence="persistStreamInit" r:id="rId1"/>
</file>

<file path=xl/activeX/activeX185.xml><?xml version="1.0" encoding="utf-8"?>
<ax:ocx xmlns:ax="http://schemas.microsoft.com/office/2006/activeX" xmlns:r="http://schemas.openxmlformats.org/officeDocument/2006/relationships" ax:classid="{8BD21D50-EC42-11CE-9E0D-00AA006002F3}" ax:persistence="persistStreamInit" r:id="rId1"/>
</file>

<file path=xl/activeX/activeX186.xml><?xml version="1.0" encoding="utf-8"?>
<ax:ocx xmlns:ax="http://schemas.microsoft.com/office/2006/activeX" xmlns:r="http://schemas.openxmlformats.org/officeDocument/2006/relationships" ax:classid="{8BD21D50-EC42-11CE-9E0D-00AA006002F3}" ax:persistence="persistStreamInit" r:id="rId1"/>
</file>

<file path=xl/activeX/activeX187.xml><?xml version="1.0" encoding="utf-8"?>
<ax:ocx xmlns:ax="http://schemas.microsoft.com/office/2006/activeX" xmlns:r="http://schemas.openxmlformats.org/officeDocument/2006/relationships" ax:classid="{8BD21D50-EC42-11CE-9E0D-00AA006002F3}" ax:persistence="persistStreamInit" r:id="rId1"/>
</file>

<file path=xl/activeX/activeX188.xml><?xml version="1.0" encoding="utf-8"?>
<ax:ocx xmlns:ax="http://schemas.microsoft.com/office/2006/activeX" xmlns:r="http://schemas.openxmlformats.org/officeDocument/2006/relationships" ax:classid="{8BD21D50-EC42-11CE-9E0D-00AA006002F3}" ax:persistence="persistStreamInit" r:id="rId1"/>
</file>

<file path=xl/activeX/activeX189.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190.xml><?xml version="1.0" encoding="utf-8"?>
<ax:ocx xmlns:ax="http://schemas.microsoft.com/office/2006/activeX" xmlns:r="http://schemas.openxmlformats.org/officeDocument/2006/relationships" ax:classid="{8BD21D50-EC42-11CE-9E0D-00AA006002F3}" ax:persistence="persistStreamInit" r:id="rId1"/>
</file>

<file path=xl/activeX/activeX191.xml><?xml version="1.0" encoding="utf-8"?>
<ax:ocx xmlns:ax="http://schemas.microsoft.com/office/2006/activeX" xmlns:r="http://schemas.openxmlformats.org/officeDocument/2006/relationships" ax:classid="{8BD21D50-EC42-11CE-9E0D-00AA006002F3}" ax:persistence="persistStreamInit" r:id="rId1"/>
</file>

<file path=xl/activeX/activeX192.xml><?xml version="1.0" encoding="utf-8"?>
<ax:ocx xmlns:ax="http://schemas.microsoft.com/office/2006/activeX" xmlns:r="http://schemas.openxmlformats.org/officeDocument/2006/relationships" ax:classid="{8BD21D50-EC42-11CE-9E0D-00AA006002F3}" ax:persistence="persistStreamInit" r:id="rId1"/>
</file>

<file path=xl/activeX/activeX193.xml><?xml version="1.0" encoding="utf-8"?>
<ax:ocx xmlns:ax="http://schemas.microsoft.com/office/2006/activeX" xmlns:r="http://schemas.openxmlformats.org/officeDocument/2006/relationships" ax:classid="{8BD21D50-EC42-11CE-9E0D-00AA006002F3}" ax:persistence="persistStreamInit" r:id="rId1"/>
</file>

<file path=xl/activeX/activeX194.xml><?xml version="1.0" encoding="utf-8"?>
<ax:ocx xmlns:ax="http://schemas.microsoft.com/office/2006/activeX" xmlns:r="http://schemas.openxmlformats.org/officeDocument/2006/relationships" ax:classid="{8BD21D50-EC42-11CE-9E0D-00AA006002F3}" ax:persistence="persistStreamInit" r:id="rId1"/>
</file>

<file path=xl/activeX/activeX195.xml><?xml version="1.0" encoding="utf-8"?>
<ax:ocx xmlns:ax="http://schemas.microsoft.com/office/2006/activeX" xmlns:r="http://schemas.openxmlformats.org/officeDocument/2006/relationships" ax:classid="{8BD21D50-EC42-11CE-9E0D-00AA006002F3}" ax:persistence="persistStreamInit" r:id="rId1"/>
</file>

<file path=xl/activeX/activeX196.xml><?xml version="1.0" encoding="utf-8"?>
<ax:ocx xmlns:ax="http://schemas.microsoft.com/office/2006/activeX" xmlns:r="http://schemas.openxmlformats.org/officeDocument/2006/relationships" ax:classid="{8BD21D50-EC42-11CE-9E0D-00AA006002F3}" ax:persistence="persistStreamInit" r:id="rId1"/>
</file>

<file path=xl/activeX/activeX197.xml><?xml version="1.0" encoding="utf-8"?>
<ax:ocx xmlns:ax="http://schemas.microsoft.com/office/2006/activeX" xmlns:r="http://schemas.openxmlformats.org/officeDocument/2006/relationships" ax:classid="{8BD21D50-EC42-11CE-9E0D-00AA006002F3}" ax:persistence="persistStreamInit" r:id="rId1"/>
</file>

<file path=xl/activeX/activeX198.xml><?xml version="1.0" encoding="utf-8"?>
<ax:ocx xmlns:ax="http://schemas.microsoft.com/office/2006/activeX" xmlns:r="http://schemas.openxmlformats.org/officeDocument/2006/relationships" ax:classid="{8BD21D50-EC42-11CE-9E0D-00AA006002F3}" ax:persistence="persistStreamInit" r:id="rId1"/>
</file>

<file path=xl/activeX/activeX19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00.xml><?xml version="1.0" encoding="utf-8"?>
<ax:ocx xmlns:ax="http://schemas.microsoft.com/office/2006/activeX" xmlns:r="http://schemas.openxmlformats.org/officeDocument/2006/relationships" ax:classid="{8BD21D50-EC42-11CE-9E0D-00AA006002F3}" ax:persistence="persistStreamInit" r:id="rId1"/>
</file>

<file path=xl/activeX/activeX201.xml><?xml version="1.0" encoding="utf-8"?>
<ax:ocx xmlns:ax="http://schemas.microsoft.com/office/2006/activeX" xmlns:r="http://schemas.openxmlformats.org/officeDocument/2006/relationships" ax:classid="{8BD21D50-EC42-11CE-9E0D-00AA006002F3}" ax:persistence="persistStreamInit" r:id="rId1"/>
</file>

<file path=xl/activeX/activeX202.xml><?xml version="1.0" encoding="utf-8"?>
<ax:ocx xmlns:ax="http://schemas.microsoft.com/office/2006/activeX" xmlns:r="http://schemas.openxmlformats.org/officeDocument/2006/relationships" ax:classid="{8BD21D50-EC42-11CE-9E0D-00AA006002F3}" ax:persistence="persistStreamInit" r:id="rId1"/>
</file>

<file path=xl/activeX/activeX203.xml><?xml version="1.0" encoding="utf-8"?>
<ax:ocx xmlns:ax="http://schemas.microsoft.com/office/2006/activeX" xmlns:r="http://schemas.openxmlformats.org/officeDocument/2006/relationships" ax:classid="{8BD21D50-EC42-11CE-9E0D-00AA006002F3}" ax:persistence="persistStreamInit" r:id="rId1"/>
</file>

<file path=xl/activeX/activeX204.xml><?xml version="1.0" encoding="utf-8"?>
<ax:ocx xmlns:ax="http://schemas.microsoft.com/office/2006/activeX" xmlns:r="http://schemas.openxmlformats.org/officeDocument/2006/relationships" ax:classid="{8BD21D50-EC42-11CE-9E0D-00AA006002F3}" ax:persistence="persistStreamInit" r:id="rId1"/>
</file>

<file path=xl/activeX/activeX205.xml><?xml version="1.0" encoding="utf-8"?>
<ax:ocx xmlns:ax="http://schemas.microsoft.com/office/2006/activeX" xmlns:r="http://schemas.openxmlformats.org/officeDocument/2006/relationships" ax:classid="{8BD21D50-EC42-11CE-9E0D-00AA006002F3}" ax:persistence="persistStreamInit" r:id="rId1"/>
</file>

<file path=xl/activeX/activeX206.xml><?xml version="1.0" encoding="utf-8"?>
<ax:ocx xmlns:ax="http://schemas.microsoft.com/office/2006/activeX" xmlns:r="http://schemas.openxmlformats.org/officeDocument/2006/relationships" ax:classid="{8BD21D50-EC42-11CE-9E0D-00AA006002F3}" ax:persistence="persistStreamInit" r:id="rId1"/>
</file>

<file path=xl/activeX/activeX207.xml><?xml version="1.0" encoding="utf-8"?>
<ax:ocx xmlns:ax="http://schemas.microsoft.com/office/2006/activeX" xmlns:r="http://schemas.openxmlformats.org/officeDocument/2006/relationships" ax:classid="{8BD21D50-EC42-11CE-9E0D-00AA006002F3}" ax:persistence="persistStreamInit" r:id="rId1"/>
</file>

<file path=xl/activeX/activeX208.xml><?xml version="1.0" encoding="utf-8"?>
<ax:ocx xmlns:ax="http://schemas.microsoft.com/office/2006/activeX" xmlns:r="http://schemas.openxmlformats.org/officeDocument/2006/relationships" ax:classid="{8BD21D50-EC42-11CE-9E0D-00AA006002F3}" ax:persistence="persistStreamInit" r:id="rId1"/>
</file>

<file path=xl/activeX/activeX209.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10.xml><?xml version="1.0" encoding="utf-8"?>
<ax:ocx xmlns:ax="http://schemas.microsoft.com/office/2006/activeX" xmlns:r="http://schemas.openxmlformats.org/officeDocument/2006/relationships" ax:classid="{8BD21D50-EC42-11CE-9E0D-00AA006002F3}" ax:persistence="persistStreamInit" r:id="rId1"/>
</file>

<file path=xl/activeX/activeX211.xml><?xml version="1.0" encoding="utf-8"?>
<ax:ocx xmlns:ax="http://schemas.microsoft.com/office/2006/activeX" xmlns:r="http://schemas.openxmlformats.org/officeDocument/2006/relationships" ax:classid="{8BD21D50-EC42-11CE-9E0D-00AA006002F3}" ax:persistence="persistStreamInit" r:id="rId1"/>
</file>

<file path=xl/activeX/activeX212.xml><?xml version="1.0" encoding="utf-8"?>
<ax:ocx xmlns:ax="http://schemas.microsoft.com/office/2006/activeX" xmlns:r="http://schemas.openxmlformats.org/officeDocument/2006/relationships" ax:classid="{8BD21D50-EC42-11CE-9E0D-00AA006002F3}" ax:persistence="persistStreamInit" r:id="rId1"/>
</file>

<file path=xl/activeX/activeX213.xml><?xml version="1.0" encoding="utf-8"?>
<ax:ocx xmlns:ax="http://schemas.microsoft.com/office/2006/activeX" xmlns:r="http://schemas.openxmlformats.org/officeDocument/2006/relationships" ax:classid="{8BD21D50-EC42-11CE-9E0D-00AA006002F3}" ax:persistence="persistStreamInit" r:id="rId1"/>
</file>

<file path=xl/activeX/activeX214.xml><?xml version="1.0" encoding="utf-8"?>
<ax:ocx xmlns:ax="http://schemas.microsoft.com/office/2006/activeX" xmlns:r="http://schemas.openxmlformats.org/officeDocument/2006/relationships" ax:classid="{8BD21D50-EC42-11CE-9E0D-00AA006002F3}" ax:persistence="persistStreamInit" r:id="rId1"/>
</file>

<file path=xl/activeX/activeX215.xml><?xml version="1.0" encoding="utf-8"?>
<ax:ocx xmlns:ax="http://schemas.microsoft.com/office/2006/activeX" xmlns:r="http://schemas.openxmlformats.org/officeDocument/2006/relationships" ax:classid="{8BD21D50-EC42-11CE-9E0D-00AA006002F3}" ax:persistence="persistStreamInit" r:id="rId1"/>
</file>

<file path=xl/activeX/activeX216.xml><?xml version="1.0" encoding="utf-8"?>
<ax:ocx xmlns:ax="http://schemas.microsoft.com/office/2006/activeX" xmlns:r="http://schemas.openxmlformats.org/officeDocument/2006/relationships" ax:classid="{8BD21D50-EC42-11CE-9E0D-00AA006002F3}" ax:persistence="persistStreamInit" r:id="rId1"/>
</file>

<file path=xl/activeX/activeX217.xml><?xml version="1.0" encoding="utf-8"?>
<ax:ocx xmlns:ax="http://schemas.microsoft.com/office/2006/activeX" xmlns:r="http://schemas.openxmlformats.org/officeDocument/2006/relationships" ax:classid="{8BD21D50-EC42-11CE-9E0D-00AA006002F3}" ax:persistence="persistStreamInit" r:id="rId1"/>
</file>

<file path=xl/activeX/activeX218.xml><?xml version="1.0" encoding="utf-8"?>
<ax:ocx xmlns:ax="http://schemas.microsoft.com/office/2006/activeX" xmlns:r="http://schemas.openxmlformats.org/officeDocument/2006/relationships" ax:classid="{8BD21D50-EC42-11CE-9E0D-00AA006002F3}" ax:persistence="persistStreamInit" r:id="rId1"/>
</file>

<file path=xl/activeX/activeX219.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20.xml><?xml version="1.0" encoding="utf-8"?>
<ax:ocx xmlns:ax="http://schemas.microsoft.com/office/2006/activeX" xmlns:r="http://schemas.openxmlformats.org/officeDocument/2006/relationships" ax:classid="{8BD21D50-EC42-11CE-9E0D-00AA006002F3}" ax:persistence="persistStreamInit" r:id="rId1"/>
</file>

<file path=xl/activeX/activeX221.xml><?xml version="1.0" encoding="utf-8"?>
<ax:ocx xmlns:ax="http://schemas.microsoft.com/office/2006/activeX" xmlns:r="http://schemas.openxmlformats.org/officeDocument/2006/relationships" ax:classid="{8BD21D50-EC42-11CE-9E0D-00AA006002F3}" ax:persistence="persistStreamInit" r:id="rId1"/>
</file>

<file path=xl/activeX/activeX222.xml><?xml version="1.0" encoding="utf-8"?>
<ax:ocx xmlns:ax="http://schemas.microsoft.com/office/2006/activeX" xmlns:r="http://schemas.openxmlformats.org/officeDocument/2006/relationships" ax:classid="{8BD21D50-EC42-11CE-9E0D-00AA006002F3}" ax:persistence="persistStreamInit" r:id="rId1"/>
</file>

<file path=xl/activeX/activeX223.xml><?xml version="1.0" encoding="utf-8"?>
<ax:ocx xmlns:ax="http://schemas.microsoft.com/office/2006/activeX" xmlns:r="http://schemas.openxmlformats.org/officeDocument/2006/relationships" ax:classid="{8BD21D50-EC42-11CE-9E0D-00AA006002F3}" ax:persistence="persistStreamInit" r:id="rId1"/>
</file>

<file path=xl/activeX/activeX224.xml><?xml version="1.0" encoding="utf-8"?>
<ax:ocx xmlns:ax="http://schemas.microsoft.com/office/2006/activeX" xmlns:r="http://schemas.openxmlformats.org/officeDocument/2006/relationships" ax:classid="{8BD21D50-EC42-11CE-9E0D-00AA006002F3}" ax:persistence="persistStreamInit" r:id="rId1"/>
</file>

<file path=xl/activeX/activeX225.xml><?xml version="1.0" encoding="utf-8"?>
<ax:ocx xmlns:ax="http://schemas.microsoft.com/office/2006/activeX" xmlns:r="http://schemas.openxmlformats.org/officeDocument/2006/relationships" ax:classid="{8BD21D50-EC42-11CE-9E0D-00AA006002F3}" ax:persistence="persistStreamInit" r:id="rId1"/>
</file>

<file path=xl/activeX/activeX226.xml><?xml version="1.0" encoding="utf-8"?>
<ax:ocx xmlns:ax="http://schemas.microsoft.com/office/2006/activeX" xmlns:r="http://schemas.openxmlformats.org/officeDocument/2006/relationships" ax:classid="{8BD21D50-EC42-11CE-9E0D-00AA006002F3}" ax:persistence="persistStreamInit" r:id="rId1"/>
</file>

<file path=xl/activeX/activeX227.xml><?xml version="1.0" encoding="utf-8"?>
<ax:ocx xmlns:ax="http://schemas.microsoft.com/office/2006/activeX" xmlns:r="http://schemas.openxmlformats.org/officeDocument/2006/relationships" ax:classid="{8BD21D50-EC42-11CE-9E0D-00AA006002F3}" ax:persistence="persistStreamInit" r:id="rId1"/>
</file>

<file path=xl/activeX/activeX228.xml><?xml version="1.0" encoding="utf-8"?>
<ax:ocx xmlns:ax="http://schemas.microsoft.com/office/2006/activeX" xmlns:r="http://schemas.openxmlformats.org/officeDocument/2006/relationships" ax:classid="{8BD21D50-EC42-11CE-9E0D-00AA006002F3}" ax:persistence="persistStreamInit" r:id="rId1"/>
</file>

<file path=xl/activeX/activeX229.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30.xml><?xml version="1.0" encoding="utf-8"?>
<ax:ocx xmlns:ax="http://schemas.microsoft.com/office/2006/activeX" xmlns:r="http://schemas.openxmlformats.org/officeDocument/2006/relationships" ax:classid="{8BD21D50-EC42-11CE-9E0D-00AA006002F3}" ax:persistence="persistStreamInit" r:id="rId1"/>
</file>

<file path=xl/activeX/activeX231.xml><?xml version="1.0" encoding="utf-8"?>
<ax:ocx xmlns:ax="http://schemas.microsoft.com/office/2006/activeX" xmlns:r="http://schemas.openxmlformats.org/officeDocument/2006/relationships" ax:classid="{8BD21D50-EC42-11CE-9E0D-00AA006002F3}" ax:persistence="persistStreamInit" r:id="rId1"/>
</file>

<file path=xl/activeX/activeX232.xml><?xml version="1.0" encoding="utf-8"?>
<ax:ocx xmlns:ax="http://schemas.microsoft.com/office/2006/activeX" xmlns:r="http://schemas.openxmlformats.org/officeDocument/2006/relationships" ax:classid="{8BD21D50-EC42-11CE-9E0D-00AA006002F3}" ax:persistence="persistStreamInit" r:id="rId1"/>
</file>

<file path=xl/activeX/activeX233.xml><?xml version="1.0" encoding="utf-8"?>
<ax:ocx xmlns:ax="http://schemas.microsoft.com/office/2006/activeX" xmlns:r="http://schemas.openxmlformats.org/officeDocument/2006/relationships" ax:classid="{8BD21D50-EC42-11CE-9E0D-00AA006002F3}" ax:persistence="persistStreamInit" r:id="rId1"/>
</file>

<file path=xl/activeX/activeX234.xml><?xml version="1.0" encoding="utf-8"?>
<ax:ocx xmlns:ax="http://schemas.microsoft.com/office/2006/activeX" xmlns:r="http://schemas.openxmlformats.org/officeDocument/2006/relationships" ax:classid="{8BD21D50-EC42-11CE-9E0D-00AA006002F3}" ax:persistence="persistStreamInit" r:id="rId1"/>
</file>

<file path=xl/activeX/activeX235.xml><?xml version="1.0" encoding="utf-8"?>
<ax:ocx xmlns:ax="http://schemas.microsoft.com/office/2006/activeX" xmlns:r="http://schemas.openxmlformats.org/officeDocument/2006/relationships" ax:classid="{8BD21D50-EC42-11CE-9E0D-00AA006002F3}" ax:persistence="persistStreamInit" r:id="rId1"/>
</file>

<file path=xl/activeX/activeX236.xml><?xml version="1.0" encoding="utf-8"?>
<ax:ocx xmlns:ax="http://schemas.microsoft.com/office/2006/activeX" xmlns:r="http://schemas.openxmlformats.org/officeDocument/2006/relationships" ax:classid="{8BD21D50-EC42-11CE-9E0D-00AA006002F3}" ax:persistence="persistStreamInit" r:id="rId1"/>
</file>

<file path=xl/activeX/activeX237.xml><?xml version="1.0" encoding="utf-8"?>
<ax:ocx xmlns:ax="http://schemas.microsoft.com/office/2006/activeX" xmlns:r="http://schemas.openxmlformats.org/officeDocument/2006/relationships" ax:classid="{8BD21D50-EC42-11CE-9E0D-00AA006002F3}" ax:persistence="persistStreamInit" r:id="rId1"/>
</file>

<file path=xl/activeX/activeX238.xml><?xml version="1.0" encoding="utf-8"?>
<ax:ocx xmlns:ax="http://schemas.microsoft.com/office/2006/activeX" xmlns:r="http://schemas.openxmlformats.org/officeDocument/2006/relationships" ax:classid="{8BD21D50-EC42-11CE-9E0D-00AA006002F3}" ax:persistence="persistStreamInit" r:id="rId1"/>
</file>

<file path=xl/activeX/activeX239.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40.xml><?xml version="1.0" encoding="utf-8"?>
<ax:ocx xmlns:ax="http://schemas.microsoft.com/office/2006/activeX" xmlns:r="http://schemas.openxmlformats.org/officeDocument/2006/relationships" ax:classid="{8BD21D50-EC42-11CE-9E0D-00AA006002F3}" ax:persistence="persistStreamInit" r:id="rId1"/>
</file>

<file path=xl/activeX/activeX241.xml><?xml version="1.0" encoding="utf-8"?>
<ax:ocx xmlns:ax="http://schemas.microsoft.com/office/2006/activeX" xmlns:r="http://schemas.openxmlformats.org/officeDocument/2006/relationships" ax:classid="{8BD21D50-EC42-11CE-9E0D-00AA006002F3}" ax:persistence="persistStreamInit" r:id="rId1"/>
</file>

<file path=xl/activeX/activeX242.xml><?xml version="1.0" encoding="utf-8"?>
<ax:ocx xmlns:ax="http://schemas.microsoft.com/office/2006/activeX" xmlns:r="http://schemas.openxmlformats.org/officeDocument/2006/relationships" ax:classid="{8BD21D50-EC42-11CE-9E0D-00AA006002F3}" ax:persistence="persistStreamInit" r:id="rId1"/>
</file>

<file path=xl/activeX/activeX243.xml><?xml version="1.0" encoding="utf-8"?>
<ax:ocx xmlns:ax="http://schemas.microsoft.com/office/2006/activeX" xmlns:r="http://schemas.openxmlformats.org/officeDocument/2006/relationships" ax:classid="{8BD21D50-EC42-11CE-9E0D-00AA006002F3}" ax:persistence="persistStreamInit" r:id="rId1"/>
</file>

<file path=xl/activeX/activeX244.xml><?xml version="1.0" encoding="utf-8"?>
<ax:ocx xmlns:ax="http://schemas.microsoft.com/office/2006/activeX" xmlns:r="http://schemas.openxmlformats.org/officeDocument/2006/relationships" ax:classid="{8BD21D50-EC42-11CE-9E0D-00AA006002F3}" ax:persistence="persistStreamInit" r:id="rId1"/>
</file>

<file path=xl/activeX/activeX245.xml><?xml version="1.0" encoding="utf-8"?>
<ax:ocx xmlns:ax="http://schemas.microsoft.com/office/2006/activeX" xmlns:r="http://schemas.openxmlformats.org/officeDocument/2006/relationships" ax:classid="{8BD21D50-EC42-11CE-9E0D-00AA006002F3}" ax:persistence="persistStreamInit" r:id="rId1"/>
</file>

<file path=xl/activeX/activeX246.xml><?xml version="1.0" encoding="utf-8"?>
<ax:ocx xmlns:ax="http://schemas.microsoft.com/office/2006/activeX" xmlns:r="http://schemas.openxmlformats.org/officeDocument/2006/relationships" ax:classid="{8BD21D50-EC42-11CE-9E0D-00AA006002F3}" ax:persistence="persistStreamInit" r:id="rId1"/>
</file>

<file path=xl/activeX/activeX247.xml><?xml version="1.0" encoding="utf-8"?>
<ax:ocx xmlns:ax="http://schemas.microsoft.com/office/2006/activeX" xmlns:r="http://schemas.openxmlformats.org/officeDocument/2006/relationships" ax:classid="{8BD21D50-EC42-11CE-9E0D-00AA006002F3}" ax:persistence="persistStreamInit" r:id="rId1"/>
</file>

<file path=xl/activeX/activeX248.xml><?xml version="1.0" encoding="utf-8"?>
<ax:ocx xmlns:ax="http://schemas.microsoft.com/office/2006/activeX" xmlns:r="http://schemas.openxmlformats.org/officeDocument/2006/relationships" ax:classid="{8BD21D50-EC42-11CE-9E0D-00AA006002F3}" ax:persistence="persistStreamInit" r:id="rId1"/>
</file>

<file path=xl/activeX/activeX249.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50.xml><?xml version="1.0" encoding="utf-8"?>
<ax:ocx xmlns:ax="http://schemas.microsoft.com/office/2006/activeX" xmlns:r="http://schemas.openxmlformats.org/officeDocument/2006/relationships" ax:classid="{8BD21D50-EC42-11CE-9E0D-00AA006002F3}" ax:persistence="persistStreamInit" r:id="rId1"/>
</file>

<file path=xl/activeX/activeX251.xml><?xml version="1.0" encoding="utf-8"?>
<ax:ocx xmlns:ax="http://schemas.microsoft.com/office/2006/activeX" xmlns:r="http://schemas.openxmlformats.org/officeDocument/2006/relationships" ax:classid="{8BD21D50-EC42-11CE-9E0D-00AA006002F3}" ax:persistence="persistStreamInit" r:id="rId1"/>
</file>

<file path=xl/activeX/activeX252.xml><?xml version="1.0" encoding="utf-8"?>
<ax:ocx xmlns:ax="http://schemas.microsoft.com/office/2006/activeX" xmlns:r="http://schemas.openxmlformats.org/officeDocument/2006/relationships" ax:classid="{8BD21D50-EC42-11CE-9E0D-00AA006002F3}" ax:persistence="persistStreamInit" r:id="rId1"/>
</file>

<file path=xl/activeX/activeX253.xml><?xml version="1.0" encoding="utf-8"?>
<ax:ocx xmlns:ax="http://schemas.microsoft.com/office/2006/activeX" xmlns:r="http://schemas.openxmlformats.org/officeDocument/2006/relationships" ax:classid="{8BD21D50-EC42-11CE-9E0D-00AA006002F3}" ax:persistence="persistStreamInit" r:id="rId1"/>
</file>

<file path=xl/activeX/activeX254.xml><?xml version="1.0" encoding="utf-8"?>
<ax:ocx xmlns:ax="http://schemas.microsoft.com/office/2006/activeX" xmlns:r="http://schemas.openxmlformats.org/officeDocument/2006/relationships" ax:classid="{8BD21D50-EC42-11CE-9E0D-00AA006002F3}" ax:persistence="persistStreamInit" r:id="rId1"/>
</file>

<file path=xl/activeX/activeX255.xml><?xml version="1.0" encoding="utf-8"?>
<ax:ocx xmlns:ax="http://schemas.microsoft.com/office/2006/activeX" xmlns:r="http://schemas.openxmlformats.org/officeDocument/2006/relationships" ax:classid="{8BD21D50-EC42-11CE-9E0D-00AA006002F3}" ax:persistence="persistStreamInit" r:id="rId1"/>
</file>

<file path=xl/activeX/activeX256.xml><?xml version="1.0" encoding="utf-8"?>
<ax:ocx xmlns:ax="http://schemas.microsoft.com/office/2006/activeX" xmlns:r="http://schemas.openxmlformats.org/officeDocument/2006/relationships" ax:classid="{8BD21D50-EC42-11CE-9E0D-00AA006002F3}" ax:persistence="persistStreamInit" r:id="rId1"/>
</file>

<file path=xl/activeX/activeX257.xml><?xml version="1.0" encoding="utf-8"?>
<ax:ocx xmlns:ax="http://schemas.microsoft.com/office/2006/activeX" xmlns:r="http://schemas.openxmlformats.org/officeDocument/2006/relationships" ax:classid="{8BD21D50-EC42-11CE-9E0D-00AA006002F3}" ax:persistence="persistStreamInit" r:id="rId1"/>
</file>

<file path=xl/activeX/activeX258.xml><?xml version="1.0" encoding="utf-8"?>
<ax:ocx xmlns:ax="http://schemas.microsoft.com/office/2006/activeX" xmlns:r="http://schemas.openxmlformats.org/officeDocument/2006/relationships" ax:classid="{8BD21D50-EC42-11CE-9E0D-00AA006002F3}" ax:persistence="persistStreamInit" r:id="rId1"/>
</file>

<file path=xl/activeX/activeX259.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60.xml><?xml version="1.0" encoding="utf-8"?>
<ax:ocx xmlns:ax="http://schemas.microsoft.com/office/2006/activeX" xmlns:r="http://schemas.openxmlformats.org/officeDocument/2006/relationships" ax:classid="{8BD21D50-EC42-11CE-9E0D-00AA006002F3}" ax:persistence="persistStreamInit" r:id="rId1"/>
</file>

<file path=xl/activeX/activeX261.xml><?xml version="1.0" encoding="utf-8"?>
<ax:ocx xmlns:ax="http://schemas.microsoft.com/office/2006/activeX" xmlns:r="http://schemas.openxmlformats.org/officeDocument/2006/relationships" ax:classid="{8BD21D50-EC42-11CE-9E0D-00AA006002F3}" ax:persistence="persistStreamInit" r:id="rId1"/>
</file>

<file path=xl/activeX/activeX262.xml><?xml version="1.0" encoding="utf-8"?>
<ax:ocx xmlns:ax="http://schemas.microsoft.com/office/2006/activeX" xmlns:r="http://schemas.openxmlformats.org/officeDocument/2006/relationships" ax:classid="{8BD21D50-EC42-11CE-9E0D-00AA006002F3}" ax:persistence="persistStreamInit" r:id="rId1"/>
</file>

<file path=xl/activeX/activeX263.xml><?xml version="1.0" encoding="utf-8"?>
<ax:ocx xmlns:ax="http://schemas.microsoft.com/office/2006/activeX" xmlns:r="http://schemas.openxmlformats.org/officeDocument/2006/relationships" ax:classid="{8BD21D50-EC42-11CE-9E0D-00AA006002F3}" ax:persistence="persistStreamInit" r:id="rId1"/>
</file>

<file path=xl/activeX/activeX264.xml><?xml version="1.0" encoding="utf-8"?>
<ax:ocx xmlns:ax="http://schemas.microsoft.com/office/2006/activeX" xmlns:r="http://schemas.openxmlformats.org/officeDocument/2006/relationships" ax:classid="{8BD21D50-EC42-11CE-9E0D-00AA006002F3}" ax:persistence="persistStreamInit" r:id="rId1"/>
</file>

<file path=xl/activeX/activeX265.xml><?xml version="1.0" encoding="utf-8"?>
<ax:ocx xmlns:ax="http://schemas.microsoft.com/office/2006/activeX" xmlns:r="http://schemas.openxmlformats.org/officeDocument/2006/relationships" ax:classid="{8BD21D50-EC42-11CE-9E0D-00AA006002F3}" ax:persistence="persistStreamInit" r:id="rId1"/>
</file>

<file path=xl/activeX/activeX266.xml><?xml version="1.0" encoding="utf-8"?>
<ax:ocx xmlns:ax="http://schemas.microsoft.com/office/2006/activeX" xmlns:r="http://schemas.openxmlformats.org/officeDocument/2006/relationships" ax:classid="{8BD21D50-EC42-11CE-9E0D-00AA006002F3}" ax:persistence="persistStreamInit" r:id="rId1"/>
</file>

<file path=xl/activeX/activeX267.xml><?xml version="1.0" encoding="utf-8"?>
<ax:ocx xmlns:ax="http://schemas.microsoft.com/office/2006/activeX" xmlns:r="http://schemas.openxmlformats.org/officeDocument/2006/relationships" ax:classid="{8BD21D50-EC42-11CE-9E0D-00AA006002F3}" ax:persistence="persistStreamInit" r:id="rId1"/>
</file>

<file path=xl/activeX/activeX268.xml><?xml version="1.0" encoding="utf-8"?>
<ax:ocx xmlns:ax="http://schemas.microsoft.com/office/2006/activeX" xmlns:r="http://schemas.openxmlformats.org/officeDocument/2006/relationships" ax:classid="{8BD21D50-EC42-11CE-9E0D-00AA006002F3}" ax:persistence="persistStreamInit" r:id="rId1"/>
</file>

<file path=xl/activeX/activeX269.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70.xml><?xml version="1.0" encoding="utf-8"?>
<ax:ocx xmlns:ax="http://schemas.microsoft.com/office/2006/activeX" xmlns:r="http://schemas.openxmlformats.org/officeDocument/2006/relationships" ax:classid="{8BD21D50-EC42-11CE-9E0D-00AA006002F3}" ax:persistence="persistStreamInit" r:id="rId1"/>
</file>

<file path=xl/activeX/activeX271.xml><?xml version="1.0" encoding="utf-8"?>
<ax:ocx xmlns:ax="http://schemas.microsoft.com/office/2006/activeX" xmlns:r="http://schemas.openxmlformats.org/officeDocument/2006/relationships" ax:classid="{8BD21D50-EC42-11CE-9E0D-00AA006002F3}" ax:persistence="persistStreamInit" r:id="rId1"/>
</file>

<file path=xl/activeX/activeX272.xml><?xml version="1.0" encoding="utf-8"?>
<ax:ocx xmlns:ax="http://schemas.microsoft.com/office/2006/activeX" xmlns:r="http://schemas.openxmlformats.org/officeDocument/2006/relationships" ax:classid="{8BD21D50-EC42-11CE-9E0D-00AA006002F3}" ax:persistence="persistStreamInit" r:id="rId1"/>
</file>

<file path=xl/activeX/activeX273.xml><?xml version="1.0" encoding="utf-8"?>
<ax:ocx xmlns:ax="http://schemas.microsoft.com/office/2006/activeX" xmlns:r="http://schemas.openxmlformats.org/officeDocument/2006/relationships" ax:classid="{8BD21D50-EC42-11CE-9E0D-00AA006002F3}" ax:persistence="persistStreamInit" r:id="rId1"/>
</file>

<file path=xl/activeX/activeX274.xml><?xml version="1.0" encoding="utf-8"?>
<ax:ocx xmlns:ax="http://schemas.microsoft.com/office/2006/activeX" xmlns:r="http://schemas.openxmlformats.org/officeDocument/2006/relationships" ax:classid="{8BD21D50-EC42-11CE-9E0D-00AA006002F3}" ax:persistence="persistStreamInit" r:id="rId1"/>
</file>

<file path=xl/activeX/activeX275.xml><?xml version="1.0" encoding="utf-8"?>
<ax:ocx xmlns:ax="http://schemas.microsoft.com/office/2006/activeX" xmlns:r="http://schemas.openxmlformats.org/officeDocument/2006/relationships" ax:classid="{8BD21D50-EC42-11CE-9E0D-00AA006002F3}" ax:persistence="persistStreamInit" r:id="rId1"/>
</file>

<file path=xl/activeX/activeX276.xml><?xml version="1.0" encoding="utf-8"?>
<ax:ocx xmlns:ax="http://schemas.microsoft.com/office/2006/activeX" xmlns:r="http://schemas.openxmlformats.org/officeDocument/2006/relationships" ax:classid="{8BD21D50-EC42-11CE-9E0D-00AA006002F3}" ax:persistence="persistStreamInit" r:id="rId1"/>
</file>

<file path=xl/activeX/activeX277.xml><?xml version="1.0" encoding="utf-8"?>
<ax:ocx xmlns:ax="http://schemas.microsoft.com/office/2006/activeX" xmlns:r="http://schemas.openxmlformats.org/officeDocument/2006/relationships" ax:classid="{8BD21D50-EC42-11CE-9E0D-00AA006002F3}" ax:persistence="persistStreamInit" r:id="rId1"/>
</file>

<file path=xl/activeX/activeX278.xml><?xml version="1.0" encoding="utf-8"?>
<ax:ocx xmlns:ax="http://schemas.microsoft.com/office/2006/activeX" xmlns:r="http://schemas.openxmlformats.org/officeDocument/2006/relationships" ax:classid="{8BD21D50-EC42-11CE-9E0D-00AA006002F3}" ax:persistence="persistStreamInit" r:id="rId1"/>
</file>

<file path=xl/activeX/activeX279.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80.xml><?xml version="1.0" encoding="utf-8"?>
<ax:ocx xmlns:ax="http://schemas.microsoft.com/office/2006/activeX" xmlns:r="http://schemas.openxmlformats.org/officeDocument/2006/relationships" ax:classid="{8BD21D50-EC42-11CE-9E0D-00AA006002F3}" ax:persistence="persistStreamInit" r:id="rId1"/>
</file>

<file path=xl/activeX/activeX281.xml><?xml version="1.0" encoding="utf-8"?>
<ax:ocx xmlns:ax="http://schemas.microsoft.com/office/2006/activeX" xmlns:r="http://schemas.openxmlformats.org/officeDocument/2006/relationships" ax:classid="{8BD21D50-EC42-11CE-9E0D-00AA006002F3}" ax:persistence="persistStreamInit" r:id="rId1"/>
</file>

<file path=xl/activeX/activeX282.xml><?xml version="1.0" encoding="utf-8"?>
<ax:ocx xmlns:ax="http://schemas.microsoft.com/office/2006/activeX" xmlns:r="http://schemas.openxmlformats.org/officeDocument/2006/relationships" ax:classid="{8BD21D50-EC42-11CE-9E0D-00AA006002F3}" ax:persistence="persistStreamInit" r:id="rId1"/>
</file>

<file path=xl/activeX/activeX283.xml><?xml version="1.0" encoding="utf-8"?>
<ax:ocx xmlns:ax="http://schemas.microsoft.com/office/2006/activeX" xmlns:r="http://schemas.openxmlformats.org/officeDocument/2006/relationships" ax:classid="{8BD21D50-EC42-11CE-9E0D-00AA006002F3}" ax:persistence="persistStreamInit" r:id="rId1"/>
</file>

<file path=xl/activeX/activeX284.xml><?xml version="1.0" encoding="utf-8"?>
<ax:ocx xmlns:ax="http://schemas.microsoft.com/office/2006/activeX" xmlns:r="http://schemas.openxmlformats.org/officeDocument/2006/relationships" ax:classid="{8BD21D50-EC42-11CE-9E0D-00AA006002F3}" ax:persistence="persistStreamInit" r:id="rId1"/>
</file>

<file path=xl/activeX/activeX285.xml><?xml version="1.0" encoding="utf-8"?>
<ax:ocx xmlns:ax="http://schemas.microsoft.com/office/2006/activeX" xmlns:r="http://schemas.openxmlformats.org/officeDocument/2006/relationships" ax:classid="{8BD21D50-EC42-11CE-9E0D-00AA006002F3}" ax:persistence="persistStreamInit" r:id="rId1"/>
</file>

<file path=xl/activeX/activeX286.xml><?xml version="1.0" encoding="utf-8"?>
<ax:ocx xmlns:ax="http://schemas.microsoft.com/office/2006/activeX" xmlns:r="http://schemas.openxmlformats.org/officeDocument/2006/relationships" ax:classid="{8BD21D50-EC42-11CE-9E0D-00AA006002F3}" ax:persistence="persistStreamInit" r:id="rId1"/>
</file>

<file path=xl/activeX/activeX287.xml><?xml version="1.0" encoding="utf-8"?>
<ax:ocx xmlns:ax="http://schemas.microsoft.com/office/2006/activeX" xmlns:r="http://schemas.openxmlformats.org/officeDocument/2006/relationships" ax:classid="{8BD21D50-EC42-11CE-9E0D-00AA006002F3}" ax:persistence="persistStreamInit" r:id="rId1"/>
</file>

<file path=xl/activeX/activeX288.xml><?xml version="1.0" encoding="utf-8"?>
<ax:ocx xmlns:ax="http://schemas.microsoft.com/office/2006/activeX" xmlns:r="http://schemas.openxmlformats.org/officeDocument/2006/relationships" ax:classid="{8BD21D50-EC42-11CE-9E0D-00AA006002F3}" ax:persistence="persistStreamInit" r:id="rId1"/>
</file>

<file path=xl/activeX/activeX289.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290.xml><?xml version="1.0" encoding="utf-8"?>
<ax:ocx xmlns:ax="http://schemas.microsoft.com/office/2006/activeX" xmlns:r="http://schemas.openxmlformats.org/officeDocument/2006/relationships" ax:classid="{8BD21D50-EC42-11CE-9E0D-00AA006002F3}" ax:persistence="persistStreamInit" r:id="rId1"/>
</file>

<file path=xl/activeX/activeX291.xml><?xml version="1.0" encoding="utf-8"?>
<ax:ocx xmlns:ax="http://schemas.microsoft.com/office/2006/activeX" xmlns:r="http://schemas.openxmlformats.org/officeDocument/2006/relationships" ax:classid="{8BD21D50-EC42-11CE-9E0D-00AA006002F3}" ax:persistence="persistStreamInit" r:id="rId1"/>
</file>

<file path=xl/activeX/activeX292.xml><?xml version="1.0" encoding="utf-8"?>
<ax:ocx xmlns:ax="http://schemas.microsoft.com/office/2006/activeX" xmlns:r="http://schemas.openxmlformats.org/officeDocument/2006/relationships" ax:classid="{8BD21D50-EC42-11CE-9E0D-00AA006002F3}" ax:persistence="persistStreamInit" r:id="rId1"/>
</file>

<file path=xl/activeX/activeX293.xml><?xml version="1.0" encoding="utf-8"?>
<ax:ocx xmlns:ax="http://schemas.microsoft.com/office/2006/activeX" xmlns:r="http://schemas.openxmlformats.org/officeDocument/2006/relationships" ax:classid="{8BD21D50-EC42-11CE-9E0D-00AA006002F3}" ax:persistence="persistStreamInit" r:id="rId1"/>
</file>

<file path=xl/activeX/activeX294.xml><?xml version="1.0" encoding="utf-8"?>
<ax:ocx xmlns:ax="http://schemas.microsoft.com/office/2006/activeX" xmlns:r="http://schemas.openxmlformats.org/officeDocument/2006/relationships" ax:classid="{8BD21D50-EC42-11CE-9E0D-00AA006002F3}" ax:persistence="persistStreamInit" r:id="rId1"/>
</file>

<file path=xl/activeX/activeX295.xml><?xml version="1.0" encoding="utf-8"?>
<ax:ocx xmlns:ax="http://schemas.microsoft.com/office/2006/activeX" xmlns:r="http://schemas.openxmlformats.org/officeDocument/2006/relationships" ax:classid="{8BD21D50-EC42-11CE-9E0D-00AA006002F3}" ax:persistence="persistStreamInit" r:id="rId1"/>
</file>

<file path=xl/activeX/activeX296.xml><?xml version="1.0" encoding="utf-8"?>
<ax:ocx xmlns:ax="http://schemas.microsoft.com/office/2006/activeX" xmlns:r="http://schemas.openxmlformats.org/officeDocument/2006/relationships" ax:classid="{8BD21D50-EC42-11CE-9E0D-00AA006002F3}" ax:persistence="persistStreamInit" r:id="rId1"/>
</file>

<file path=xl/activeX/activeX297.xml><?xml version="1.0" encoding="utf-8"?>
<ax:ocx xmlns:ax="http://schemas.microsoft.com/office/2006/activeX" xmlns:r="http://schemas.openxmlformats.org/officeDocument/2006/relationships" ax:classid="{8BD21D50-EC42-11CE-9E0D-00AA006002F3}" ax:persistence="persistStreamInit" r:id="rId1"/>
</file>

<file path=xl/activeX/activeX298.xml><?xml version="1.0" encoding="utf-8"?>
<ax:ocx xmlns:ax="http://schemas.microsoft.com/office/2006/activeX" xmlns:r="http://schemas.openxmlformats.org/officeDocument/2006/relationships" ax:classid="{8BD21D50-EC42-11CE-9E0D-00AA006002F3}" ax:persistence="persistStreamInit" r:id="rId1"/>
</file>

<file path=xl/activeX/activeX29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00.xml><?xml version="1.0" encoding="utf-8"?>
<ax:ocx xmlns:ax="http://schemas.microsoft.com/office/2006/activeX" xmlns:r="http://schemas.openxmlformats.org/officeDocument/2006/relationships" ax:classid="{8BD21D50-EC42-11CE-9E0D-00AA006002F3}" ax:persistence="persistStreamInit" r:id="rId1"/>
</file>

<file path=xl/activeX/activeX301.xml><?xml version="1.0" encoding="utf-8"?>
<ax:ocx xmlns:ax="http://schemas.microsoft.com/office/2006/activeX" xmlns:r="http://schemas.openxmlformats.org/officeDocument/2006/relationships" ax:classid="{8BD21D50-EC42-11CE-9E0D-00AA006002F3}" ax:persistence="persistStreamInit" r:id="rId1"/>
</file>

<file path=xl/activeX/activeX302.xml><?xml version="1.0" encoding="utf-8"?>
<ax:ocx xmlns:ax="http://schemas.microsoft.com/office/2006/activeX" xmlns:r="http://schemas.openxmlformats.org/officeDocument/2006/relationships" ax:classid="{8BD21D50-EC42-11CE-9E0D-00AA006002F3}" ax:persistence="persistStreamInit" r:id="rId1"/>
</file>

<file path=xl/activeX/activeX303.xml><?xml version="1.0" encoding="utf-8"?>
<ax:ocx xmlns:ax="http://schemas.microsoft.com/office/2006/activeX" xmlns:r="http://schemas.openxmlformats.org/officeDocument/2006/relationships" ax:classid="{8BD21D50-EC42-11CE-9E0D-00AA006002F3}" ax:persistence="persistStreamInit" r:id="rId1"/>
</file>

<file path=xl/activeX/activeX304.xml><?xml version="1.0" encoding="utf-8"?>
<ax:ocx xmlns:ax="http://schemas.microsoft.com/office/2006/activeX" xmlns:r="http://schemas.openxmlformats.org/officeDocument/2006/relationships" ax:classid="{8BD21D50-EC42-11CE-9E0D-00AA006002F3}" ax:persistence="persistStreamInit" r:id="rId1"/>
</file>

<file path=xl/activeX/activeX305.xml><?xml version="1.0" encoding="utf-8"?>
<ax:ocx xmlns:ax="http://schemas.microsoft.com/office/2006/activeX" xmlns:r="http://schemas.openxmlformats.org/officeDocument/2006/relationships" ax:classid="{8BD21D50-EC42-11CE-9E0D-00AA006002F3}" ax:persistence="persistStreamInit" r:id="rId1"/>
</file>

<file path=xl/activeX/activeX306.xml><?xml version="1.0" encoding="utf-8"?>
<ax:ocx xmlns:ax="http://schemas.microsoft.com/office/2006/activeX" xmlns:r="http://schemas.openxmlformats.org/officeDocument/2006/relationships" ax:classid="{8BD21D50-EC42-11CE-9E0D-00AA006002F3}" ax:persistence="persistStreamInit" r:id="rId1"/>
</file>

<file path=xl/activeX/activeX307.xml><?xml version="1.0" encoding="utf-8"?>
<ax:ocx xmlns:ax="http://schemas.microsoft.com/office/2006/activeX" xmlns:r="http://schemas.openxmlformats.org/officeDocument/2006/relationships" ax:classid="{8BD21D50-EC42-11CE-9E0D-00AA006002F3}" ax:persistence="persistStreamInit" r:id="rId1"/>
</file>

<file path=xl/activeX/activeX308.xml><?xml version="1.0" encoding="utf-8"?>
<ax:ocx xmlns:ax="http://schemas.microsoft.com/office/2006/activeX" xmlns:r="http://schemas.openxmlformats.org/officeDocument/2006/relationships" ax:classid="{8BD21D50-EC42-11CE-9E0D-00AA006002F3}" ax:persistence="persistStreamInit" r:id="rId1"/>
</file>

<file path=xl/activeX/activeX309.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10.xml><?xml version="1.0" encoding="utf-8"?>
<ax:ocx xmlns:ax="http://schemas.microsoft.com/office/2006/activeX" xmlns:r="http://schemas.openxmlformats.org/officeDocument/2006/relationships" ax:classid="{8BD21D50-EC42-11CE-9E0D-00AA006002F3}" ax:persistence="persistStreamInit" r:id="rId1"/>
</file>

<file path=xl/activeX/activeX311.xml><?xml version="1.0" encoding="utf-8"?>
<ax:ocx xmlns:ax="http://schemas.microsoft.com/office/2006/activeX" xmlns:r="http://schemas.openxmlformats.org/officeDocument/2006/relationships" ax:classid="{8BD21D50-EC42-11CE-9E0D-00AA006002F3}" ax:persistence="persistStreamInit" r:id="rId1"/>
</file>

<file path=xl/activeX/activeX312.xml><?xml version="1.0" encoding="utf-8"?>
<ax:ocx xmlns:ax="http://schemas.microsoft.com/office/2006/activeX" xmlns:r="http://schemas.openxmlformats.org/officeDocument/2006/relationships" ax:classid="{8BD21D50-EC42-11CE-9E0D-00AA006002F3}" ax:persistence="persistStreamInit" r:id="rId1"/>
</file>

<file path=xl/activeX/activeX313.xml><?xml version="1.0" encoding="utf-8"?>
<ax:ocx xmlns:ax="http://schemas.microsoft.com/office/2006/activeX" xmlns:r="http://schemas.openxmlformats.org/officeDocument/2006/relationships" ax:classid="{8BD21D50-EC42-11CE-9E0D-00AA006002F3}" ax:persistence="persistStreamInit" r:id="rId1"/>
</file>

<file path=xl/activeX/activeX314.xml><?xml version="1.0" encoding="utf-8"?>
<ax:ocx xmlns:ax="http://schemas.microsoft.com/office/2006/activeX" xmlns:r="http://schemas.openxmlformats.org/officeDocument/2006/relationships" ax:classid="{8BD21D50-EC42-11CE-9E0D-00AA006002F3}" ax:persistence="persistStreamInit" r:id="rId1"/>
</file>

<file path=xl/activeX/activeX315.xml><?xml version="1.0" encoding="utf-8"?>
<ax:ocx xmlns:ax="http://schemas.microsoft.com/office/2006/activeX" xmlns:r="http://schemas.openxmlformats.org/officeDocument/2006/relationships" ax:classid="{8BD21D50-EC42-11CE-9E0D-00AA006002F3}" ax:persistence="persistStreamInit" r:id="rId1"/>
</file>

<file path=xl/activeX/activeX316.xml><?xml version="1.0" encoding="utf-8"?>
<ax:ocx xmlns:ax="http://schemas.microsoft.com/office/2006/activeX" xmlns:r="http://schemas.openxmlformats.org/officeDocument/2006/relationships" ax:classid="{8BD21D50-EC42-11CE-9E0D-00AA006002F3}" ax:persistence="persistStreamInit" r:id="rId1"/>
</file>

<file path=xl/activeX/activeX317.xml><?xml version="1.0" encoding="utf-8"?>
<ax:ocx xmlns:ax="http://schemas.microsoft.com/office/2006/activeX" xmlns:r="http://schemas.openxmlformats.org/officeDocument/2006/relationships" ax:classid="{8BD21D50-EC42-11CE-9E0D-00AA006002F3}" ax:persistence="persistStreamInit" r:id="rId1"/>
</file>

<file path=xl/activeX/activeX318.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8BD21D50-EC42-11CE-9E0D-00AA006002F3}" ax:persistence="persistStreamInit" r:id="rId1"/>
</file>

<file path=xl/activeX/activeX49.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50-EC42-11CE-9E0D-00AA006002F3}" ax:persistence="persistStreamInit" r:id="rId1"/>
</file>

<file path=xl/activeX/activeX53.xml><?xml version="1.0" encoding="utf-8"?>
<ax:ocx xmlns:ax="http://schemas.microsoft.com/office/2006/activeX" xmlns:r="http://schemas.openxmlformats.org/officeDocument/2006/relationships" ax:classid="{8BD21D50-EC42-11CE-9E0D-00AA006002F3}" ax:persistence="persistStreamInit" r:id="rId1"/>
</file>

<file path=xl/activeX/activeX54.xml><?xml version="1.0" encoding="utf-8"?>
<ax:ocx xmlns:ax="http://schemas.microsoft.com/office/2006/activeX" xmlns:r="http://schemas.openxmlformats.org/officeDocument/2006/relationships" ax:classid="{8BD21D50-EC42-11CE-9E0D-00AA006002F3}" ax:persistence="persistStreamInit" r:id="rId1"/>
</file>

<file path=xl/activeX/activeX55.xml><?xml version="1.0" encoding="utf-8"?>
<ax:ocx xmlns:ax="http://schemas.microsoft.com/office/2006/activeX" xmlns:r="http://schemas.openxmlformats.org/officeDocument/2006/relationships" ax:classid="{8BD21D50-EC42-11CE-9E0D-00AA006002F3}" ax:persistence="persistStreamInit" r:id="rId1"/>
</file>

<file path=xl/activeX/activeX56.xml><?xml version="1.0" encoding="utf-8"?>
<ax:ocx xmlns:ax="http://schemas.microsoft.com/office/2006/activeX" xmlns:r="http://schemas.openxmlformats.org/officeDocument/2006/relationships" ax:classid="{8BD21D50-EC42-11CE-9E0D-00AA006002F3}" ax:persistence="persistStreamInit" r:id="rId1"/>
</file>

<file path=xl/activeX/activeX57.xml><?xml version="1.0" encoding="utf-8"?>
<ax:ocx xmlns:ax="http://schemas.microsoft.com/office/2006/activeX" xmlns:r="http://schemas.openxmlformats.org/officeDocument/2006/relationships" ax:classid="{8BD21D50-EC42-11CE-9E0D-00AA006002F3}" ax:persistence="persistStreamInit" r:id="rId1"/>
</file>

<file path=xl/activeX/activeX58.xml><?xml version="1.0" encoding="utf-8"?>
<ax:ocx xmlns:ax="http://schemas.microsoft.com/office/2006/activeX" xmlns:r="http://schemas.openxmlformats.org/officeDocument/2006/relationships" ax:classid="{8BD21D50-EC42-11CE-9E0D-00AA006002F3}" ax:persistence="persistStreamInit" r:id="rId1"/>
</file>

<file path=xl/activeX/activeX59.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60.xml><?xml version="1.0" encoding="utf-8"?>
<ax:ocx xmlns:ax="http://schemas.microsoft.com/office/2006/activeX" xmlns:r="http://schemas.openxmlformats.org/officeDocument/2006/relationships" ax:classid="{8BD21D50-EC42-11CE-9E0D-00AA006002F3}" ax:persistence="persistStreamInit" r:id="rId1"/>
</file>

<file path=xl/activeX/activeX61.xml><?xml version="1.0" encoding="utf-8"?>
<ax:ocx xmlns:ax="http://schemas.microsoft.com/office/2006/activeX" xmlns:r="http://schemas.openxmlformats.org/officeDocument/2006/relationships" ax:classid="{8BD21D50-EC42-11CE-9E0D-00AA006002F3}" ax:persistence="persistStreamInit" r:id="rId1"/>
</file>

<file path=xl/activeX/activeX62.xml><?xml version="1.0" encoding="utf-8"?>
<ax:ocx xmlns:ax="http://schemas.microsoft.com/office/2006/activeX" xmlns:r="http://schemas.openxmlformats.org/officeDocument/2006/relationships" ax:classid="{8BD21D50-EC42-11CE-9E0D-00AA006002F3}" ax:persistence="persistStreamInit" r:id="rId1"/>
</file>

<file path=xl/activeX/activeX63.xml><?xml version="1.0" encoding="utf-8"?>
<ax:ocx xmlns:ax="http://schemas.microsoft.com/office/2006/activeX" xmlns:r="http://schemas.openxmlformats.org/officeDocument/2006/relationships" ax:classid="{8BD21D50-EC42-11CE-9E0D-00AA006002F3}" ax:persistence="persistStreamInit" r:id="rId1"/>
</file>

<file path=xl/activeX/activeX64.xml><?xml version="1.0" encoding="utf-8"?>
<ax:ocx xmlns:ax="http://schemas.microsoft.com/office/2006/activeX" xmlns:r="http://schemas.openxmlformats.org/officeDocument/2006/relationships" ax:classid="{8BD21D50-EC42-11CE-9E0D-00AA006002F3}" ax:persistence="persistStreamInit" r:id="rId1"/>
</file>

<file path=xl/activeX/activeX65.xml><?xml version="1.0" encoding="utf-8"?>
<ax:ocx xmlns:ax="http://schemas.microsoft.com/office/2006/activeX" xmlns:r="http://schemas.openxmlformats.org/officeDocument/2006/relationships" ax:classid="{8BD21D50-EC42-11CE-9E0D-00AA006002F3}" ax:persistence="persistStreamInit" r:id="rId1"/>
</file>

<file path=xl/activeX/activeX66.xml><?xml version="1.0" encoding="utf-8"?>
<ax:ocx xmlns:ax="http://schemas.microsoft.com/office/2006/activeX" xmlns:r="http://schemas.openxmlformats.org/officeDocument/2006/relationships" ax:classid="{8BD21D50-EC42-11CE-9E0D-00AA006002F3}" ax:persistence="persistStreamInit" r:id="rId1"/>
</file>

<file path=xl/activeX/activeX67.xml><?xml version="1.0" encoding="utf-8"?>
<ax:ocx xmlns:ax="http://schemas.microsoft.com/office/2006/activeX" xmlns:r="http://schemas.openxmlformats.org/officeDocument/2006/relationships" ax:classid="{8BD21D50-EC42-11CE-9E0D-00AA006002F3}" ax:persistence="persistStreamInit" r:id="rId1"/>
</file>

<file path=xl/activeX/activeX68.xml><?xml version="1.0" encoding="utf-8"?>
<ax:ocx xmlns:ax="http://schemas.microsoft.com/office/2006/activeX" xmlns:r="http://schemas.openxmlformats.org/officeDocument/2006/relationships" ax:classid="{8BD21D50-EC42-11CE-9E0D-00AA006002F3}" ax:persistence="persistStreamInit" r:id="rId1"/>
</file>

<file path=xl/activeX/activeX69.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70.xml><?xml version="1.0" encoding="utf-8"?>
<ax:ocx xmlns:ax="http://schemas.microsoft.com/office/2006/activeX" xmlns:r="http://schemas.openxmlformats.org/officeDocument/2006/relationships" ax:classid="{8BD21D50-EC42-11CE-9E0D-00AA006002F3}" ax:persistence="persistStreamInit" r:id="rId1"/>
</file>

<file path=xl/activeX/activeX71.xml><?xml version="1.0" encoding="utf-8"?>
<ax:ocx xmlns:ax="http://schemas.microsoft.com/office/2006/activeX" xmlns:r="http://schemas.openxmlformats.org/officeDocument/2006/relationships" ax:classid="{8BD21D50-EC42-11CE-9E0D-00AA006002F3}" ax:persistence="persistStreamInit" r:id="rId1"/>
</file>

<file path=xl/activeX/activeX72.xml><?xml version="1.0" encoding="utf-8"?>
<ax:ocx xmlns:ax="http://schemas.microsoft.com/office/2006/activeX" xmlns:r="http://schemas.openxmlformats.org/officeDocument/2006/relationships" ax:classid="{8BD21D50-EC42-11CE-9E0D-00AA006002F3}" ax:persistence="persistStreamInit" r:id="rId1"/>
</file>

<file path=xl/activeX/activeX73.xml><?xml version="1.0" encoding="utf-8"?>
<ax:ocx xmlns:ax="http://schemas.microsoft.com/office/2006/activeX" xmlns:r="http://schemas.openxmlformats.org/officeDocument/2006/relationships" ax:classid="{8BD21D50-EC42-11CE-9E0D-00AA006002F3}" ax:persistence="persistStreamInit" r:id="rId1"/>
</file>

<file path=xl/activeX/activeX74.xml><?xml version="1.0" encoding="utf-8"?>
<ax:ocx xmlns:ax="http://schemas.microsoft.com/office/2006/activeX" xmlns:r="http://schemas.openxmlformats.org/officeDocument/2006/relationships" ax:classid="{8BD21D50-EC42-11CE-9E0D-00AA006002F3}" ax:persistence="persistStreamInit" r:id="rId1"/>
</file>

<file path=xl/activeX/activeX75.xml><?xml version="1.0" encoding="utf-8"?>
<ax:ocx xmlns:ax="http://schemas.microsoft.com/office/2006/activeX" xmlns:r="http://schemas.openxmlformats.org/officeDocument/2006/relationships" ax:classid="{8BD21D50-EC42-11CE-9E0D-00AA006002F3}" ax:persistence="persistStreamInit" r:id="rId1"/>
</file>

<file path=xl/activeX/activeX76.xml><?xml version="1.0" encoding="utf-8"?>
<ax:ocx xmlns:ax="http://schemas.microsoft.com/office/2006/activeX" xmlns:r="http://schemas.openxmlformats.org/officeDocument/2006/relationships" ax:classid="{8BD21D50-EC42-11CE-9E0D-00AA006002F3}" ax:persistence="persistStreamInit" r:id="rId1"/>
</file>

<file path=xl/activeX/activeX77.xml><?xml version="1.0" encoding="utf-8"?>
<ax:ocx xmlns:ax="http://schemas.microsoft.com/office/2006/activeX" xmlns:r="http://schemas.openxmlformats.org/officeDocument/2006/relationships" ax:classid="{8BD21D50-EC42-11CE-9E0D-00AA006002F3}" ax:persistence="persistStreamInit" r:id="rId1"/>
</file>

<file path=xl/activeX/activeX78.xml><?xml version="1.0" encoding="utf-8"?>
<ax:ocx xmlns:ax="http://schemas.microsoft.com/office/2006/activeX" xmlns:r="http://schemas.openxmlformats.org/officeDocument/2006/relationships" ax:classid="{8BD21D50-EC42-11CE-9E0D-00AA006002F3}" ax:persistence="persistStreamInit" r:id="rId1"/>
</file>

<file path=xl/activeX/activeX79.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80.xml><?xml version="1.0" encoding="utf-8"?>
<ax:ocx xmlns:ax="http://schemas.microsoft.com/office/2006/activeX" xmlns:r="http://schemas.openxmlformats.org/officeDocument/2006/relationships" ax:classid="{8BD21D50-EC42-11CE-9E0D-00AA006002F3}" ax:persistence="persistStreamInit" r:id="rId1"/>
</file>

<file path=xl/activeX/activeX81.xml><?xml version="1.0" encoding="utf-8"?>
<ax:ocx xmlns:ax="http://schemas.microsoft.com/office/2006/activeX" xmlns:r="http://schemas.openxmlformats.org/officeDocument/2006/relationships" ax:classid="{8BD21D50-EC42-11CE-9E0D-00AA006002F3}" ax:persistence="persistStreamInit" r:id="rId1"/>
</file>

<file path=xl/activeX/activeX82.xml><?xml version="1.0" encoding="utf-8"?>
<ax:ocx xmlns:ax="http://schemas.microsoft.com/office/2006/activeX" xmlns:r="http://schemas.openxmlformats.org/officeDocument/2006/relationships" ax:classid="{8BD21D50-EC42-11CE-9E0D-00AA006002F3}" ax:persistence="persistStreamInit" r:id="rId1"/>
</file>

<file path=xl/activeX/activeX83.xml><?xml version="1.0" encoding="utf-8"?>
<ax:ocx xmlns:ax="http://schemas.microsoft.com/office/2006/activeX" xmlns:r="http://schemas.openxmlformats.org/officeDocument/2006/relationships" ax:classid="{8BD21D50-EC42-11CE-9E0D-00AA006002F3}" ax:persistence="persistStreamInit" r:id="rId1"/>
</file>

<file path=xl/activeX/activeX84.xml><?xml version="1.0" encoding="utf-8"?>
<ax:ocx xmlns:ax="http://schemas.microsoft.com/office/2006/activeX" xmlns:r="http://schemas.openxmlformats.org/officeDocument/2006/relationships" ax:classid="{8BD21D50-EC42-11CE-9E0D-00AA006002F3}" ax:persistence="persistStreamInit" r:id="rId1"/>
</file>

<file path=xl/activeX/activeX85.xml><?xml version="1.0" encoding="utf-8"?>
<ax:ocx xmlns:ax="http://schemas.microsoft.com/office/2006/activeX" xmlns:r="http://schemas.openxmlformats.org/officeDocument/2006/relationships" ax:classid="{8BD21D50-EC42-11CE-9E0D-00AA006002F3}" ax:persistence="persistStreamInit" r:id="rId1"/>
</file>

<file path=xl/activeX/activeX86.xml><?xml version="1.0" encoding="utf-8"?>
<ax:ocx xmlns:ax="http://schemas.microsoft.com/office/2006/activeX" xmlns:r="http://schemas.openxmlformats.org/officeDocument/2006/relationships" ax:classid="{8BD21D50-EC42-11CE-9E0D-00AA006002F3}" ax:persistence="persistStreamInit" r:id="rId1"/>
</file>

<file path=xl/activeX/activeX87.xml><?xml version="1.0" encoding="utf-8"?>
<ax:ocx xmlns:ax="http://schemas.microsoft.com/office/2006/activeX" xmlns:r="http://schemas.openxmlformats.org/officeDocument/2006/relationships" ax:classid="{8BD21D50-EC42-11CE-9E0D-00AA006002F3}" ax:persistence="persistStreamInit" r:id="rId1"/>
</file>

<file path=xl/activeX/activeX88.xml><?xml version="1.0" encoding="utf-8"?>
<ax:ocx xmlns:ax="http://schemas.microsoft.com/office/2006/activeX" xmlns:r="http://schemas.openxmlformats.org/officeDocument/2006/relationships" ax:classid="{8BD21D50-EC42-11CE-9E0D-00AA006002F3}" ax:persistence="persistStreamInit" r:id="rId1"/>
</file>

<file path=xl/activeX/activeX89.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activeX/activeX90.xml><?xml version="1.0" encoding="utf-8"?>
<ax:ocx xmlns:ax="http://schemas.microsoft.com/office/2006/activeX" xmlns:r="http://schemas.openxmlformats.org/officeDocument/2006/relationships" ax:classid="{8BD21D50-EC42-11CE-9E0D-00AA006002F3}" ax:persistence="persistStreamInit" r:id="rId1"/>
</file>

<file path=xl/activeX/activeX91.xml><?xml version="1.0" encoding="utf-8"?>
<ax:ocx xmlns:ax="http://schemas.microsoft.com/office/2006/activeX" xmlns:r="http://schemas.openxmlformats.org/officeDocument/2006/relationships" ax:classid="{8BD21D50-EC42-11CE-9E0D-00AA006002F3}" ax:persistence="persistStreamInit" r:id="rId1"/>
</file>

<file path=xl/activeX/activeX92.xml><?xml version="1.0" encoding="utf-8"?>
<ax:ocx xmlns:ax="http://schemas.microsoft.com/office/2006/activeX" xmlns:r="http://schemas.openxmlformats.org/officeDocument/2006/relationships" ax:classid="{8BD21D50-EC42-11CE-9E0D-00AA006002F3}" ax:persistence="persistStreamInit" r:id="rId1"/>
</file>

<file path=xl/activeX/activeX93.xml><?xml version="1.0" encoding="utf-8"?>
<ax:ocx xmlns:ax="http://schemas.microsoft.com/office/2006/activeX" xmlns:r="http://schemas.openxmlformats.org/officeDocument/2006/relationships" ax:classid="{8BD21D50-EC42-11CE-9E0D-00AA006002F3}" ax:persistence="persistStreamInit" r:id="rId1"/>
</file>

<file path=xl/activeX/activeX94.xml><?xml version="1.0" encoding="utf-8"?>
<ax:ocx xmlns:ax="http://schemas.microsoft.com/office/2006/activeX" xmlns:r="http://schemas.openxmlformats.org/officeDocument/2006/relationships" ax:classid="{8BD21D50-EC42-11CE-9E0D-00AA006002F3}" ax:persistence="persistStreamInit" r:id="rId1"/>
</file>

<file path=xl/activeX/activeX95.xml><?xml version="1.0" encoding="utf-8"?>
<ax:ocx xmlns:ax="http://schemas.microsoft.com/office/2006/activeX" xmlns:r="http://schemas.openxmlformats.org/officeDocument/2006/relationships" ax:classid="{8BD21D50-EC42-11CE-9E0D-00AA006002F3}" ax:persistence="persistStreamInit" r:id="rId1"/>
</file>

<file path=xl/activeX/activeX96.xml><?xml version="1.0" encoding="utf-8"?>
<ax:ocx xmlns:ax="http://schemas.microsoft.com/office/2006/activeX" xmlns:r="http://schemas.openxmlformats.org/officeDocument/2006/relationships" ax:classid="{8BD21D50-EC42-11CE-9E0D-00AA006002F3}" ax:persistence="persistStreamInit" r:id="rId1"/>
</file>

<file path=xl/activeX/activeX97.xml><?xml version="1.0" encoding="utf-8"?>
<ax:ocx xmlns:ax="http://schemas.microsoft.com/office/2006/activeX" xmlns:r="http://schemas.openxmlformats.org/officeDocument/2006/relationships" ax:classid="{8BD21D50-EC42-11CE-9E0D-00AA006002F3}" ax:persistence="persistStreamInit" r:id="rId1"/>
</file>

<file path=xl/activeX/activeX98.xml><?xml version="1.0" encoding="utf-8"?>
<ax:ocx xmlns:ax="http://schemas.microsoft.com/office/2006/activeX" xmlns:r="http://schemas.openxmlformats.org/officeDocument/2006/relationships" ax:classid="{8BD21D50-EC42-11CE-9E0D-00AA006002F3}" ax:persistence="persistStreamInit" r:id="rId1"/>
</file>

<file path=xl/activeX/activeX99.xml><?xml version="1.0" encoding="utf-8"?>
<ax:ocx xmlns:ax="http://schemas.microsoft.com/office/2006/activeX" xmlns:r="http://schemas.openxmlformats.org/officeDocument/2006/relationships" ax:classid="{8BD21D50-EC42-11CE-9E0D-00AA006002F3}" ax:persistence="persistStreamInit" r:id="rId1"/>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Línea</a:t>
            </a:r>
            <a:r>
              <a:rPr lang="es-ES" baseline="0"/>
              <a:t> Base</a:t>
            </a:r>
            <a:endParaRPr lang="es-ES"/>
          </a:p>
        </c:rich>
      </c:tx>
      <c:overlay val="0"/>
    </c:title>
    <c:autoTitleDeleted val="0"/>
    <c:plotArea>
      <c:layout/>
      <c:barChart>
        <c:barDir val="col"/>
        <c:grouping val="clustered"/>
        <c:varyColors val="0"/>
        <c:ser>
          <c:idx val="0"/>
          <c:order val="0"/>
          <c:tx>
            <c:strRef>
              <c:f>'Resultados OcRef'!$B$55</c:f>
              <c:strCache>
                <c:ptCount val="1"/>
                <c:pt idx="0">
                  <c:v>Resultados Referencias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 OcRef'!$A$56:$A$58</c:f>
              <c:strCache>
                <c:ptCount val="3"/>
                <c:pt idx="0">
                  <c:v>Costos ($/ton)</c:v>
                </c:pt>
                <c:pt idx="1">
                  <c:v>Recolección y transporte</c:v>
                </c:pt>
                <c:pt idx="2">
                  <c:v>Separación, clasificación y enfardado (centro de acopio)</c:v>
                </c:pt>
              </c:strCache>
            </c:strRef>
          </c:cat>
          <c:val>
            <c:numRef>
              <c:f>'Resultados OcRef'!$B$56:$B$58</c:f>
              <c:numCache>
                <c:formatCode>_-* #,##0\ _€_-;\-* #,##0\ _€_-;_-* "-"??\ _€_-;_-@_-</c:formatCode>
                <c:ptCount val="3"/>
                <c:pt idx="0">
                  <c:v>0</c:v>
                </c:pt>
                <c:pt idx="1">
                  <c:v>0</c:v>
                </c:pt>
                <c:pt idx="2">
                  <c:v>0</c:v>
                </c:pt>
              </c:numCache>
            </c:numRef>
          </c:val>
          <c:extLst>
            <c:ext xmlns:c16="http://schemas.microsoft.com/office/drawing/2014/chart" uri="{C3380CC4-5D6E-409C-BE32-E72D297353CC}">
              <c16:uniqueId val="{00000000-C1C7-4B24-BFD3-6B25CF1D3347}"/>
            </c:ext>
          </c:extLst>
        </c:ser>
        <c:ser>
          <c:idx val="1"/>
          <c:order val="1"/>
          <c:tx>
            <c:strRef>
              <c:f>'Resultados OcRef'!$C$55</c:f>
              <c:strCache>
                <c:ptCount val="1"/>
                <c:pt idx="0">
                  <c:v>Resultados Usuario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 OcRef'!$A$56:$A$58</c:f>
              <c:strCache>
                <c:ptCount val="3"/>
                <c:pt idx="0">
                  <c:v>Costos ($/ton)</c:v>
                </c:pt>
                <c:pt idx="1">
                  <c:v>Recolección y transporte</c:v>
                </c:pt>
                <c:pt idx="2">
                  <c:v>Separación, clasificación y enfardado (centro de acopio)</c:v>
                </c:pt>
              </c:strCache>
            </c:strRef>
          </c:cat>
          <c:val>
            <c:numRef>
              <c:f>'Resultados OcRef'!$C$56:$C$58</c:f>
              <c:numCache>
                <c:formatCode>_-* #,##0\ _€_-;\-* #,##0\ _€_-;_-* "-"??\ _€_-;_-@_-</c:formatCode>
                <c:ptCount val="3"/>
                <c:pt idx="0">
                  <c:v>0</c:v>
                </c:pt>
                <c:pt idx="1">
                  <c:v>0</c:v>
                </c:pt>
                <c:pt idx="2">
                  <c:v>0</c:v>
                </c:pt>
              </c:numCache>
            </c:numRef>
          </c:val>
          <c:extLst>
            <c:ext xmlns:c16="http://schemas.microsoft.com/office/drawing/2014/chart" uri="{C3380CC4-5D6E-409C-BE32-E72D297353CC}">
              <c16:uniqueId val="{00000001-C1C7-4B24-BFD3-6B25CF1D3347}"/>
            </c:ext>
          </c:extLst>
        </c:ser>
        <c:dLbls>
          <c:showLegendKey val="0"/>
          <c:showVal val="1"/>
          <c:showCatName val="0"/>
          <c:showSerName val="0"/>
          <c:showPercent val="0"/>
          <c:showBubbleSize val="0"/>
        </c:dLbls>
        <c:gapWidth val="150"/>
        <c:overlap val="-25"/>
        <c:axId val="452676424"/>
        <c:axId val="452670936"/>
      </c:barChart>
      <c:catAx>
        <c:axId val="452676424"/>
        <c:scaling>
          <c:orientation val="minMax"/>
        </c:scaling>
        <c:delete val="0"/>
        <c:axPos val="b"/>
        <c:numFmt formatCode="General" sourceLinked="0"/>
        <c:majorTickMark val="none"/>
        <c:minorTickMark val="none"/>
        <c:tickLblPos val="nextTo"/>
        <c:crossAx val="452670936"/>
        <c:crosses val="autoZero"/>
        <c:auto val="1"/>
        <c:lblAlgn val="ctr"/>
        <c:lblOffset val="100"/>
        <c:noMultiLvlLbl val="0"/>
      </c:catAx>
      <c:valAx>
        <c:axId val="452670936"/>
        <c:scaling>
          <c:orientation val="minMax"/>
        </c:scaling>
        <c:delete val="1"/>
        <c:axPos val="l"/>
        <c:numFmt formatCode="_-* #,##0\ _€_-;\-* #,##0\ _€_-;_-* &quot;-&quot;??\ _€_-;_-@_-" sourceLinked="1"/>
        <c:majorTickMark val="out"/>
        <c:minorTickMark val="none"/>
        <c:tickLblPos val="nextTo"/>
        <c:crossAx val="45267642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Escenario 1</a:t>
            </a:r>
          </a:p>
        </c:rich>
      </c:tx>
      <c:overlay val="0"/>
    </c:title>
    <c:autoTitleDeleted val="0"/>
    <c:plotArea>
      <c:layout/>
      <c:barChart>
        <c:barDir val="col"/>
        <c:grouping val="clustered"/>
        <c:varyColors val="0"/>
        <c:ser>
          <c:idx val="0"/>
          <c:order val="0"/>
          <c:tx>
            <c:strRef>
              <c:f>'Resultados OcRef'!$B$60</c:f>
              <c:strCache>
                <c:ptCount val="1"/>
                <c:pt idx="0">
                  <c:v>Resultados Referencias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 OcRef'!$A$61:$A$63</c:f>
              <c:strCache>
                <c:ptCount val="3"/>
                <c:pt idx="0">
                  <c:v>Costos ($/ton)</c:v>
                </c:pt>
                <c:pt idx="1">
                  <c:v>Recolección y transporte</c:v>
                </c:pt>
                <c:pt idx="2">
                  <c:v>Separación, clasificación y enfardado (centro de acopio)</c:v>
                </c:pt>
              </c:strCache>
            </c:strRef>
          </c:cat>
          <c:val>
            <c:numRef>
              <c:f>'Resultados OcRef'!$B$61:$B$63</c:f>
              <c:numCache>
                <c:formatCode>_-* #,##0\ _€_-;\-* #,##0\ _€_-;_-* "-"??\ _€_-;_-@_-</c:formatCode>
                <c:ptCount val="3"/>
                <c:pt idx="0">
                  <c:v>0</c:v>
                </c:pt>
                <c:pt idx="1">
                  <c:v>0</c:v>
                </c:pt>
                <c:pt idx="2">
                  <c:v>0</c:v>
                </c:pt>
              </c:numCache>
            </c:numRef>
          </c:val>
          <c:extLst>
            <c:ext xmlns:c16="http://schemas.microsoft.com/office/drawing/2014/chart" uri="{C3380CC4-5D6E-409C-BE32-E72D297353CC}">
              <c16:uniqueId val="{00000000-5D48-4BAB-88B7-26A871389FD1}"/>
            </c:ext>
          </c:extLst>
        </c:ser>
        <c:ser>
          <c:idx val="1"/>
          <c:order val="1"/>
          <c:tx>
            <c:strRef>
              <c:f>'Resultados OcRef'!$C$60</c:f>
              <c:strCache>
                <c:ptCount val="1"/>
                <c:pt idx="0">
                  <c:v>Resultados Usuario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 OcRef'!$A$61:$A$63</c:f>
              <c:strCache>
                <c:ptCount val="3"/>
                <c:pt idx="0">
                  <c:v>Costos ($/ton)</c:v>
                </c:pt>
                <c:pt idx="1">
                  <c:v>Recolección y transporte</c:v>
                </c:pt>
                <c:pt idx="2">
                  <c:v>Separación, clasificación y enfardado (centro de acopio)</c:v>
                </c:pt>
              </c:strCache>
            </c:strRef>
          </c:cat>
          <c:val>
            <c:numRef>
              <c:f>'Resultados OcRef'!$C$61:$C$63</c:f>
              <c:numCache>
                <c:formatCode>_-* #,##0\ _€_-;\-* #,##0\ _€_-;_-* "-"??\ _€_-;_-@_-</c:formatCode>
                <c:ptCount val="3"/>
                <c:pt idx="0">
                  <c:v>0</c:v>
                </c:pt>
                <c:pt idx="1">
                  <c:v>0</c:v>
                </c:pt>
                <c:pt idx="2">
                  <c:v>0</c:v>
                </c:pt>
              </c:numCache>
            </c:numRef>
          </c:val>
          <c:extLst>
            <c:ext xmlns:c16="http://schemas.microsoft.com/office/drawing/2014/chart" uri="{C3380CC4-5D6E-409C-BE32-E72D297353CC}">
              <c16:uniqueId val="{00000001-5D48-4BAB-88B7-26A871389FD1}"/>
            </c:ext>
          </c:extLst>
        </c:ser>
        <c:dLbls>
          <c:showLegendKey val="0"/>
          <c:showVal val="1"/>
          <c:showCatName val="0"/>
          <c:showSerName val="0"/>
          <c:showPercent val="0"/>
          <c:showBubbleSize val="0"/>
        </c:dLbls>
        <c:gapWidth val="150"/>
        <c:overlap val="-25"/>
        <c:axId val="452673680"/>
        <c:axId val="452672504"/>
      </c:barChart>
      <c:catAx>
        <c:axId val="452673680"/>
        <c:scaling>
          <c:orientation val="minMax"/>
        </c:scaling>
        <c:delete val="0"/>
        <c:axPos val="b"/>
        <c:numFmt formatCode="General" sourceLinked="0"/>
        <c:majorTickMark val="none"/>
        <c:minorTickMark val="none"/>
        <c:tickLblPos val="nextTo"/>
        <c:crossAx val="452672504"/>
        <c:crosses val="autoZero"/>
        <c:auto val="1"/>
        <c:lblAlgn val="ctr"/>
        <c:lblOffset val="100"/>
        <c:noMultiLvlLbl val="0"/>
      </c:catAx>
      <c:valAx>
        <c:axId val="452672504"/>
        <c:scaling>
          <c:orientation val="minMax"/>
        </c:scaling>
        <c:delete val="1"/>
        <c:axPos val="l"/>
        <c:numFmt formatCode="_-* #,##0\ _€_-;\-* #,##0\ _€_-;_-* &quot;-&quot;??\ _€_-;_-@_-" sourceLinked="1"/>
        <c:majorTickMark val="out"/>
        <c:minorTickMark val="none"/>
        <c:tickLblPos val="nextTo"/>
        <c:crossAx val="45267368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Escenario 2</a:t>
            </a:r>
          </a:p>
        </c:rich>
      </c:tx>
      <c:overlay val="0"/>
    </c:title>
    <c:autoTitleDeleted val="0"/>
    <c:plotArea>
      <c:layout/>
      <c:barChart>
        <c:barDir val="col"/>
        <c:grouping val="clustered"/>
        <c:varyColors val="0"/>
        <c:ser>
          <c:idx val="0"/>
          <c:order val="0"/>
          <c:tx>
            <c:strRef>
              <c:f>'Resultados OcRef'!$B$65</c:f>
              <c:strCache>
                <c:ptCount val="1"/>
                <c:pt idx="0">
                  <c:v>Resultados Referencias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 OcRef'!$A$66:$A$68</c:f>
              <c:strCache>
                <c:ptCount val="3"/>
                <c:pt idx="0">
                  <c:v>Costos ($/ton)</c:v>
                </c:pt>
                <c:pt idx="1">
                  <c:v>Recolección y transporte</c:v>
                </c:pt>
                <c:pt idx="2">
                  <c:v>Separación, clasificación y enfardado (centro de acopio)</c:v>
                </c:pt>
              </c:strCache>
            </c:strRef>
          </c:cat>
          <c:val>
            <c:numRef>
              <c:f>'Resultados OcRef'!$B$66:$B$68</c:f>
              <c:numCache>
                <c:formatCode>_-* #,##0\ _€_-;\-* #,##0\ _€_-;_-* "-"??\ _€_-;_-@_-</c:formatCode>
                <c:ptCount val="3"/>
                <c:pt idx="0">
                  <c:v>0</c:v>
                </c:pt>
                <c:pt idx="1">
                  <c:v>0</c:v>
                </c:pt>
                <c:pt idx="2">
                  <c:v>0</c:v>
                </c:pt>
              </c:numCache>
            </c:numRef>
          </c:val>
          <c:extLst>
            <c:ext xmlns:c16="http://schemas.microsoft.com/office/drawing/2014/chart" uri="{C3380CC4-5D6E-409C-BE32-E72D297353CC}">
              <c16:uniqueId val="{00000000-68A0-4015-8F8E-1064899D5060}"/>
            </c:ext>
          </c:extLst>
        </c:ser>
        <c:ser>
          <c:idx val="1"/>
          <c:order val="1"/>
          <c:tx>
            <c:strRef>
              <c:f>'Resultados OcRef'!$C$65</c:f>
              <c:strCache>
                <c:ptCount val="1"/>
                <c:pt idx="0">
                  <c:v>Resultados Usuario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 OcRef'!$A$66:$A$68</c:f>
              <c:strCache>
                <c:ptCount val="3"/>
                <c:pt idx="0">
                  <c:v>Costos ($/ton)</c:v>
                </c:pt>
                <c:pt idx="1">
                  <c:v>Recolección y transporte</c:v>
                </c:pt>
                <c:pt idx="2">
                  <c:v>Separación, clasificación y enfardado (centro de acopio)</c:v>
                </c:pt>
              </c:strCache>
            </c:strRef>
          </c:cat>
          <c:val>
            <c:numRef>
              <c:f>'Resultados OcRef'!$C$66:$C$68</c:f>
              <c:numCache>
                <c:formatCode>_-* #,##0\ _€_-;\-* #,##0\ _€_-;_-* "-"??\ _€_-;_-@_-</c:formatCode>
                <c:ptCount val="3"/>
                <c:pt idx="0">
                  <c:v>0</c:v>
                </c:pt>
                <c:pt idx="1">
                  <c:v>0</c:v>
                </c:pt>
                <c:pt idx="2">
                  <c:v>0</c:v>
                </c:pt>
              </c:numCache>
            </c:numRef>
          </c:val>
          <c:extLst>
            <c:ext xmlns:c16="http://schemas.microsoft.com/office/drawing/2014/chart" uri="{C3380CC4-5D6E-409C-BE32-E72D297353CC}">
              <c16:uniqueId val="{00000001-68A0-4015-8F8E-1064899D5060}"/>
            </c:ext>
          </c:extLst>
        </c:ser>
        <c:dLbls>
          <c:showLegendKey val="0"/>
          <c:showVal val="1"/>
          <c:showCatName val="0"/>
          <c:showSerName val="0"/>
          <c:showPercent val="0"/>
          <c:showBubbleSize val="0"/>
        </c:dLbls>
        <c:gapWidth val="150"/>
        <c:overlap val="-25"/>
        <c:axId val="452674464"/>
        <c:axId val="452677600"/>
      </c:barChart>
      <c:catAx>
        <c:axId val="452674464"/>
        <c:scaling>
          <c:orientation val="minMax"/>
        </c:scaling>
        <c:delete val="0"/>
        <c:axPos val="b"/>
        <c:numFmt formatCode="General" sourceLinked="0"/>
        <c:majorTickMark val="none"/>
        <c:minorTickMark val="none"/>
        <c:tickLblPos val="nextTo"/>
        <c:crossAx val="452677600"/>
        <c:crosses val="autoZero"/>
        <c:auto val="1"/>
        <c:lblAlgn val="ctr"/>
        <c:lblOffset val="100"/>
        <c:noMultiLvlLbl val="0"/>
      </c:catAx>
      <c:valAx>
        <c:axId val="452677600"/>
        <c:scaling>
          <c:orientation val="minMax"/>
        </c:scaling>
        <c:delete val="1"/>
        <c:axPos val="l"/>
        <c:numFmt formatCode="_-* #,##0\ _€_-;\-* #,##0\ _€_-;_-* &quot;-&quot;??\ _€_-;_-@_-" sourceLinked="1"/>
        <c:majorTickMark val="out"/>
        <c:minorTickMark val="none"/>
        <c:tickLblPos val="nextTo"/>
        <c:crossAx val="45267446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Escenario 3</a:t>
            </a:r>
          </a:p>
        </c:rich>
      </c:tx>
      <c:overlay val="0"/>
    </c:title>
    <c:autoTitleDeleted val="0"/>
    <c:plotArea>
      <c:layout/>
      <c:barChart>
        <c:barDir val="col"/>
        <c:grouping val="clustered"/>
        <c:varyColors val="0"/>
        <c:ser>
          <c:idx val="0"/>
          <c:order val="0"/>
          <c:tx>
            <c:strRef>
              <c:f>'Resultados OcRef'!$B$70</c:f>
              <c:strCache>
                <c:ptCount val="1"/>
                <c:pt idx="0">
                  <c:v>Resultados Referencias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 OcRef'!$A$71:$A$73</c:f>
              <c:strCache>
                <c:ptCount val="3"/>
                <c:pt idx="0">
                  <c:v>Costos ($/ton)</c:v>
                </c:pt>
                <c:pt idx="1">
                  <c:v>Recolección y transporte</c:v>
                </c:pt>
                <c:pt idx="2">
                  <c:v>Separación, clasificación y enfardado (centro de acopio)</c:v>
                </c:pt>
              </c:strCache>
            </c:strRef>
          </c:cat>
          <c:val>
            <c:numRef>
              <c:f>'Resultados OcRef'!$B$71:$B$73</c:f>
              <c:numCache>
                <c:formatCode>_-* #,##0\ _€_-;\-* #,##0\ _€_-;_-* "-"??\ _€_-;_-@_-</c:formatCode>
                <c:ptCount val="3"/>
                <c:pt idx="0">
                  <c:v>0</c:v>
                </c:pt>
                <c:pt idx="1">
                  <c:v>0</c:v>
                </c:pt>
                <c:pt idx="2">
                  <c:v>0</c:v>
                </c:pt>
              </c:numCache>
            </c:numRef>
          </c:val>
          <c:extLst>
            <c:ext xmlns:c16="http://schemas.microsoft.com/office/drawing/2014/chart" uri="{C3380CC4-5D6E-409C-BE32-E72D297353CC}">
              <c16:uniqueId val="{00000000-8CFB-4B95-A41A-26C17FA8DC66}"/>
            </c:ext>
          </c:extLst>
        </c:ser>
        <c:ser>
          <c:idx val="1"/>
          <c:order val="1"/>
          <c:tx>
            <c:strRef>
              <c:f>'Resultados OcRef'!$C$70</c:f>
              <c:strCache>
                <c:ptCount val="1"/>
                <c:pt idx="0">
                  <c:v>Resultados Usuario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 OcRef'!$A$71:$A$73</c:f>
              <c:strCache>
                <c:ptCount val="3"/>
                <c:pt idx="0">
                  <c:v>Costos ($/ton)</c:v>
                </c:pt>
                <c:pt idx="1">
                  <c:v>Recolección y transporte</c:v>
                </c:pt>
                <c:pt idx="2">
                  <c:v>Separación, clasificación y enfardado (centro de acopio)</c:v>
                </c:pt>
              </c:strCache>
            </c:strRef>
          </c:cat>
          <c:val>
            <c:numRef>
              <c:f>'Resultados OcRef'!$C$71:$C$73</c:f>
              <c:numCache>
                <c:formatCode>_-* #,##0\ _€_-;\-* #,##0\ _€_-;_-* "-"??\ _€_-;_-@_-</c:formatCode>
                <c:ptCount val="3"/>
                <c:pt idx="0">
                  <c:v>0</c:v>
                </c:pt>
                <c:pt idx="1">
                  <c:v>0</c:v>
                </c:pt>
                <c:pt idx="2">
                  <c:v>0</c:v>
                </c:pt>
              </c:numCache>
            </c:numRef>
          </c:val>
          <c:extLst>
            <c:ext xmlns:c16="http://schemas.microsoft.com/office/drawing/2014/chart" uri="{C3380CC4-5D6E-409C-BE32-E72D297353CC}">
              <c16:uniqueId val="{00000001-8CFB-4B95-A41A-26C17FA8DC66}"/>
            </c:ext>
          </c:extLst>
        </c:ser>
        <c:dLbls>
          <c:showLegendKey val="0"/>
          <c:showVal val="1"/>
          <c:showCatName val="0"/>
          <c:showSerName val="0"/>
          <c:showPercent val="0"/>
          <c:showBubbleSize val="0"/>
        </c:dLbls>
        <c:gapWidth val="150"/>
        <c:overlap val="-25"/>
        <c:axId val="452674856"/>
        <c:axId val="452672896"/>
      </c:barChart>
      <c:catAx>
        <c:axId val="452674856"/>
        <c:scaling>
          <c:orientation val="minMax"/>
        </c:scaling>
        <c:delete val="0"/>
        <c:axPos val="b"/>
        <c:numFmt formatCode="General" sourceLinked="0"/>
        <c:majorTickMark val="none"/>
        <c:minorTickMark val="none"/>
        <c:tickLblPos val="nextTo"/>
        <c:crossAx val="452672896"/>
        <c:crosses val="autoZero"/>
        <c:auto val="1"/>
        <c:lblAlgn val="ctr"/>
        <c:lblOffset val="100"/>
        <c:noMultiLvlLbl val="0"/>
      </c:catAx>
      <c:valAx>
        <c:axId val="452672896"/>
        <c:scaling>
          <c:orientation val="minMax"/>
        </c:scaling>
        <c:delete val="1"/>
        <c:axPos val="l"/>
        <c:numFmt formatCode="_-* #,##0\ _€_-;\-* #,##0\ _€_-;_-* &quot;-&quot;??\ _€_-;_-@_-" sourceLinked="1"/>
        <c:majorTickMark val="out"/>
        <c:minorTickMark val="none"/>
        <c:tickLblPos val="nextTo"/>
        <c:crossAx val="45267485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Valor de las inversiones</a:t>
            </a:r>
          </a:p>
        </c:rich>
      </c:tx>
      <c:overlay val="0"/>
    </c:title>
    <c:autoTitleDeleted val="0"/>
    <c:plotArea>
      <c:layout/>
      <c:barChart>
        <c:barDir val="col"/>
        <c:grouping val="clustered"/>
        <c:varyColors val="0"/>
        <c:ser>
          <c:idx val="0"/>
          <c:order val="0"/>
          <c:tx>
            <c:strRef>
              <c:f>'Resultados Oc'!$A$62</c:f>
              <c:strCache>
                <c:ptCount val="1"/>
                <c:pt idx="0">
                  <c:v>Recolección y transporte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'Resultados Oc'!$B$62:$E$62</c:f>
              <c:numCache>
                <c:formatCode>_-* #,##0\ _€_-;\-* #,##0\ _€_-;_-* "-"??\ _€_-;_-@_-</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Oc'!$B$61:$E$61</c15:sqref>
                        </c15:formulaRef>
                      </c:ext>
                    </c:extLst>
                    <c:strCache>
                      <c:ptCount val="4"/>
                      <c:pt idx="0">
                        <c:v>Línea Base</c:v>
                      </c:pt>
                      <c:pt idx="1">
                        <c:v>Escenario 1</c:v>
                      </c:pt>
                      <c:pt idx="2">
                        <c:v>Escenario 2</c:v>
                      </c:pt>
                      <c:pt idx="3">
                        <c:v>Escenario 3</c:v>
                      </c:pt>
                    </c:strCache>
                  </c:strRef>
                </c15:cat>
              </c15:filteredCategoryTitle>
            </c:ext>
            <c:ext xmlns:c16="http://schemas.microsoft.com/office/drawing/2014/chart" uri="{C3380CC4-5D6E-409C-BE32-E72D297353CC}">
              <c16:uniqueId val="{00000000-E3BE-4DDB-8E72-B5688093FDE8}"/>
            </c:ext>
          </c:extLst>
        </c:ser>
        <c:ser>
          <c:idx val="1"/>
          <c:order val="1"/>
          <c:tx>
            <c:strRef>
              <c:f>'Resultados Oc'!$A$63</c:f>
              <c:strCache>
                <c:ptCount val="1"/>
                <c:pt idx="0">
                  <c:v>Centro de acopio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'Resultados Oc'!$B$63:$E$63</c:f>
              <c:numCache>
                <c:formatCode>_-* #,##0\ _€_-;\-* #,##0\ _€_-;_-* "-"??\ _€_-;_-@_-</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Oc'!$B$61:$E$61</c15:sqref>
                        </c15:formulaRef>
                      </c:ext>
                    </c:extLst>
                    <c:strCache>
                      <c:ptCount val="4"/>
                      <c:pt idx="0">
                        <c:v>Línea Base</c:v>
                      </c:pt>
                      <c:pt idx="1">
                        <c:v>Escenario 1</c:v>
                      </c:pt>
                      <c:pt idx="2">
                        <c:v>Escenario 2</c:v>
                      </c:pt>
                      <c:pt idx="3">
                        <c:v>Escenario 3</c:v>
                      </c:pt>
                    </c:strCache>
                  </c:strRef>
                </c15:cat>
              </c15:filteredCategoryTitle>
            </c:ext>
            <c:ext xmlns:c16="http://schemas.microsoft.com/office/drawing/2014/chart" uri="{C3380CC4-5D6E-409C-BE32-E72D297353CC}">
              <c16:uniqueId val="{00000001-E3BE-4DDB-8E72-B5688093FDE8}"/>
            </c:ext>
          </c:extLst>
        </c:ser>
        <c:dLbls>
          <c:showLegendKey val="0"/>
          <c:showVal val="1"/>
          <c:showCatName val="0"/>
          <c:showSerName val="0"/>
          <c:showPercent val="0"/>
          <c:showBubbleSize val="0"/>
        </c:dLbls>
        <c:gapWidth val="150"/>
        <c:overlap val="-25"/>
        <c:axId val="452671328"/>
        <c:axId val="452676816"/>
      </c:barChart>
      <c:catAx>
        <c:axId val="452671328"/>
        <c:scaling>
          <c:orientation val="minMax"/>
        </c:scaling>
        <c:delete val="0"/>
        <c:axPos val="b"/>
        <c:numFmt formatCode="General" sourceLinked="0"/>
        <c:majorTickMark val="none"/>
        <c:minorTickMark val="none"/>
        <c:tickLblPos val="nextTo"/>
        <c:crossAx val="452676816"/>
        <c:crosses val="autoZero"/>
        <c:auto val="1"/>
        <c:lblAlgn val="ctr"/>
        <c:lblOffset val="100"/>
        <c:noMultiLvlLbl val="0"/>
      </c:catAx>
      <c:valAx>
        <c:axId val="452676816"/>
        <c:scaling>
          <c:orientation val="minMax"/>
        </c:scaling>
        <c:delete val="1"/>
        <c:axPos val="l"/>
        <c:numFmt formatCode="_-* #,##0\ _€_-;\-* #,##0\ _€_-;_-* &quot;-&quot;??\ _€_-;_-@_-" sourceLinked="1"/>
        <c:majorTickMark val="out"/>
        <c:minorTickMark val="none"/>
        <c:tickLblPos val="nextTo"/>
        <c:crossAx val="45267132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Resultado por escenario</a:t>
            </a:r>
          </a:p>
        </c:rich>
      </c:tx>
      <c:overlay val="0"/>
    </c:title>
    <c:autoTitleDeleted val="0"/>
    <c:plotArea>
      <c:layout/>
      <c:barChart>
        <c:barDir val="col"/>
        <c:grouping val="clustered"/>
        <c:varyColors val="0"/>
        <c:ser>
          <c:idx val="0"/>
          <c:order val="0"/>
          <c:tx>
            <c:strRef>
              <c:f>'Resultados Oc'!$A$56</c:f>
              <c:strCache>
                <c:ptCount val="1"/>
                <c:pt idx="0">
                  <c:v>Ingresos ($/ton)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'Resultados Oc'!$B$56:$E$56</c:f>
              <c:numCache>
                <c:formatCode>_-* #,##0\ _€_-;\-* #,##0\ _€_-;_-* "-"??\ _€_-;_-@_-</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Oc'!$B$55:$E$55</c15:sqref>
                        </c15:formulaRef>
                      </c:ext>
                    </c:extLst>
                    <c:strCache>
                      <c:ptCount val="4"/>
                      <c:pt idx="0">
                        <c:v>Línea Base</c:v>
                      </c:pt>
                      <c:pt idx="1">
                        <c:v>Escenario 1</c:v>
                      </c:pt>
                      <c:pt idx="2">
                        <c:v>Escenario 2</c:v>
                      </c:pt>
                      <c:pt idx="3">
                        <c:v>Escenario 3</c:v>
                      </c:pt>
                    </c:strCache>
                  </c:strRef>
                </c15:cat>
              </c15:filteredCategoryTitle>
            </c:ext>
            <c:ext xmlns:c16="http://schemas.microsoft.com/office/drawing/2014/chart" uri="{C3380CC4-5D6E-409C-BE32-E72D297353CC}">
              <c16:uniqueId val="{00000000-0664-4887-83CC-5FDC385E7DB3}"/>
            </c:ext>
          </c:extLst>
        </c:ser>
        <c:ser>
          <c:idx val="1"/>
          <c:order val="1"/>
          <c:tx>
            <c:strRef>
              <c:f>'Resultados Oc'!$A$57</c:f>
              <c:strCache>
                <c:ptCount val="1"/>
                <c:pt idx="0">
                  <c:v>Costos ($/ton)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'Resultados Oc'!$B$57:$E$57</c:f>
              <c:numCache>
                <c:formatCode>_-* #,##0\ _€_-;\-* #,##0\ _€_-;_-* "-"??\ _€_-;_-@_-</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Oc'!$B$55:$E$55</c15:sqref>
                        </c15:formulaRef>
                      </c:ext>
                    </c:extLst>
                    <c:strCache>
                      <c:ptCount val="4"/>
                      <c:pt idx="0">
                        <c:v>Línea Base</c:v>
                      </c:pt>
                      <c:pt idx="1">
                        <c:v>Escenario 1</c:v>
                      </c:pt>
                      <c:pt idx="2">
                        <c:v>Escenario 2</c:v>
                      </c:pt>
                      <c:pt idx="3">
                        <c:v>Escenario 3</c:v>
                      </c:pt>
                    </c:strCache>
                  </c:strRef>
                </c15:cat>
              </c15:filteredCategoryTitle>
            </c:ext>
            <c:ext xmlns:c16="http://schemas.microsoft.com/office/drawing/2014/chart" uri="{C3380CC4-5D6E-409C-BE32-E72D297353CC}">
              <c16:uniqueId val="{00000001-0664-4887-83CC-5FDC385E7DB3}"/>
            </c:ext>
          </c:extLst>
        </c:ser>
        <c:ser>
          <c:idx val="2"/>
          <c:order val="2"/>
          <c:tx>
            <c:strRef>
              <c:f>'Resultados Oc'!$A$58</c:f>
              <c:strCache>
                <c:ptCount val="1"/>
                <c:pt idx="0">
                  <c:v>Utilidad o pérdida ($/ton)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'Resultados Oc'!$B$58:$E$58</c:f>
              <c:numCache>
                <c:formatCode>_-* #,##0\ _€_-;\-* #,##0\ _€_-;_-* "-"??\ _€_-;_-@_-</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Oc'!$B$55:$E$55</c15:sqref>
                        </c15:formulaRef>
                      </c:ext>
                    </c:extLst>
                    <c:strCache>
                      <c:ptCount val="4"/>
                      <c:pt idx="0">
                        <c:v>Línea Base</c:v>
                      </c:pt>
                      <c:pt idx="1">
                        <c:v>Escenario 1</c:v>
                      </c:pt>
                      <c:pt idx="2">
                        <c:v>Escenario 2</c:v>
                      </c:pt>
                      <c:pt idx="3">
                        <c:v>Escenario 3</c:v>
                      </c:pt>
                    </c:strCache>
                  </c:strRef>
                </c15:cat>
              </c15:filteredCategoryTitle>
            </c:ext>
            <c:ext xmlns:c16="http://schemas.microsoft.com/office/drawing/2014/chart" uri="{C3380CC4-5D6E-409C-BE32-E72D297353CC}">
              <c16:uniqueId val="{00000002-0664-4887-83CC-5FDC385E7DB3}"/>
            </c:ext>
          </c:extLst>
        </c:ser>
        <c:dLbls>
          <c:showLegendKey val="0"/>
          <c:showVal val="1"/>
          <c:showCatName val="0"/>
          <c:showSerName val="0"/>
          <c:showPercent val="0"/>
          <c:showBubbleSize val="0"/>
        </c:dLbls>
        <c:gapWidth val="150"/>
        <c:overlap val="-25"/>
        <c:axId val="452671720"/>
        <c:axId val="456037960"/>
      </c:barChart>
      <c:catAx>
        <c:axId val="452671720"/>
        <c:scaling>
          <c:orientation val="minMax"/>
        </c:scaling>
        <c:delete val="0"/>
        <c:axPos val="b"/>
        <c:numFmt formatCode="General" sourceLinked="0"/>
        <c:majorTickMark val="none"/>
        <c:minorTickMark val="none"/>
        <c:tickLblPos val="nextTo"/>
        <c:crossAx val="456037960"/>
        <c:crosses val="autoZero"/>
        <c:auto val="1"/>
        <c:lblAlgn val="ctr"/>
        <c:lblOffset val="100"/>
        <c:noMultiLvlLbl val="0"/>
      </c:catAx>
      <c:valAx>
        <c:axId val="456037960"/>
        <c:scaling>
          <c:orientation val="minMax"/>
        </c:scaling>
        <c:delete val="1"/>
        <c:axPos val="l"/>
        <c:numFmt formatCode="_-* #,##0\ _€_-;\-* #,##0\ _€_-;_-* &quot;-&quot;??\ _€_-;_-@_-" sourceLinked="1"/>
        <c:majorTickMark val="out"/>
        <c:minorTickMark val="none"/>
        <c:tickLblPos val="nextTo"/>
        <c:crossAx val="45267172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r>
              <a:rPr lang="es-ES" sz="1800" b="1">
                <a:solidFill>
                  <a:sysClr val="windowText" lastClr="000000"/>
                </a:solidFill>
              </a:rPr>
              <a:t>Distribución</a:t>
            </a:r>
            <a:r>
              <a:rPr lang="es-ES" sz="1800" b="1" baseline="0">
                <a:solidFill>
                  <a:sysClr val="windowText" lastClr="000000"/>
                </a:solidFill>
              </a:rPr>
              <a:t> de costos</a:t>
            </a:r>
            <a:endParaRPr lang="es-E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endParaRPr lang="es-CO"/>
        </a:p>
      </c:txPr>
    </c:title>
    <c:autoTitleDeleted val="0"/>
    <c:plotArea>
      <c:layout/>
      <c:barChart>
        <c:barDir val="bar"/>
        <c:grouping val="percentStacked"/>
        <c:varyColors val="0"/>
        <c:ser>
          <c:idx val="0"/>
          <c:order val="0"/>
          <c:tx>
            <c:strRef>
              <c:f>'Resultados Oc'!$A$108</c:f>
              <c:strCache>
                <c:ptCount val="1"/>
                <c:pt idx="0">
                  <c:v>Costos de inversión y preinversión</c:v>
                </c:pt>
              </c:strCache>
            </c:strRef>
          </c:tx>
          <c:spPr>
            <a:solidFill>
              <a:schemeClr val="accent1"/>
            </a:solidFill>
            <a:ln>
              <a:noFill/>
            </a:ln>
            <a:effectLst/>
          </c:spPr>
          <c:invertIfNegative val="0"/>
          <c:val>
            <c:numRef>
              <c:f>'Resultados Oc'!$B$108:$E$108</c:f>
              <c:numCache>
                <c:formatCode>[$$-45C]#,##0</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Oc'!$B$107:$E$107</c15:sqref>
                        </c15:formulaRef>
                      </c:ext>
                    </c:extLst>
                    <c:strCache>
                      <c:ptCount val="4"/>
                      <c:pt idx="0">
                        <c:v>Línea base</c:v>
                      </c:pt>
                      <c:pt idx="1">
                        <c:v>#¡VALOR!</c:v>
                      </c:pt>
                      <c:pt idx="2">
                        <c:v>Escenario 2</c:v>
                      </c:pt>
                      <c:pt idx="3">
                        <c:v>Escenario 3</c:v>
                      </c:pt>
                    </c:strCache>
                  </c:strRef>
                </c15:cat>
              </c15:filteredCategoryTitle>
            </c:ext>
            <c:ext xmlns:c16="http://schemas.microsoft.com/office/drawing/2014/chart" uri="{C3380CC4-5D6E-409C-BE32-E72D297353CC}">
              <c16:uniqueId val="{00000000-4076-432A-A7F7-4BF0069E64B3}"/>
            </c:ext>
          </c:extLst>
        </c:ser>
        <c:ser>
          <c:idx val="1"/>
          <c:order val="1"/>
          <c:tx>
            <c:strRef>
              <c:f>'Resultados Oc'!$A$109</c:f>
              <c:strCache>
                <c:ptCount val="1"/>
                <c:pt idx="0">
                  <c:v>Costos fijos</c:v>
                </c:pt>
              </c:strCache>
            </c:strRef>
          </c:tx>
          <c:spPr>
            <a:solidFill>
              <a:schemeClr val="accent2"/>
            </a:solidFill>
            <a:ln>
              <a:noFill/>
            </a:ln>
            <a:effectLst/>
          </c:spPr>
          <c:invertIfNegative val="0"/>
          <c:val>
            <c:numRef>
              <c:f>'Resultados Oc'!$B$109:$E$109</c:f>
              <c:numCache>
                <c:formatCode>[$$-45C]#,##0</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Oc'!$B$107:$E$107</c15:sqref>
                        </c15:formulaRef>
                      </c:ext>
                    </c:extLst>
                    <c:strCache>
                      <c:ptCount val="4"/>
                      <c:pt idx="0">
                        <c:v>Línea base</c:v>
                      </c:pt>
                      <c:pt idx="1">
                        <c:v>#¡VALOR!</c:v>
                      </c:pt>
                      <c:pt idx="2">
                        <c:v>Escenario 2</c:v>
                      </c:pt>
                      <c:pt idx="3">
                        <c:v>Escenario 3</c:v>
                      </c:pt>
                    </c:strCache>
                  </c:strRef>
                </c15:cat>
              </c15:filteredCategoryTitle>
            </c:ext>
            <c:ext xmlns:c16="http://schemas.microsoft.com/office/drawing/2014/chart" uri="{C3380CC4-5D6E-409C-BE32-E72D297353CC}">
              <c16:uniqueId val="{00000001-4076-432A-A7F7-4BF0069E64B3}"/>
            </c:ext>
          </c:extLst>
        </c:ser>
        <c:ser>
          <c:idx val="2"/>
          <c:order val="2"/>
          <c:tx>
            <c:strRef>
              <c:f>'Resultados Oc'!$A$110</c:f>
              <c:strCache>
                <c:ptCount val="1"/>
                <c:pt idx="0">
                  <c:v>Costos variables</c:v>
                </c:pt>
              </c:strCache>
            </c:strRef>
          </c:tx>
          <c:spPr>
            <a:solidFill>
              <a:schemeClr val="accent3"/>
            </a:solidFill>
            <a:ln>
              <a:noFill/>
            </a:ln>
            <a:effectLst/>
          </c:spPr>
          <c:invertIfNegative val="0"/>
          <c:val>
            <c:numRef>
              <c:f>'Resultados Oc'!$B$110:$E$110</c:f>
              <c:numCache>
                <c:formatCode>[$$-45C]#,##0</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Oc'!$B$107:$E$107</c15:sqref>
                        </c15:formulaRef>
                      </c:ext>
                    </c:extLst>
                    <c:strCache>
                      <c:ptCount val="4"/>
                      <c:pt idx="0">
                        <c:v>Línea base</c:v>
                      </c:pt>
                      <c:pt idx="1">
                        <c:v>#¡VALOR!</c:v>
                      </c:pt>
                      <c:pt idx="2">
                        <c:v>Escenario 2</c:v>
                      </c:pt>
                      <c:pt idx="3">
                        <c:v>Escenario 3</c:v>
                      </c:pt>
                    </c:strCache>
                  </c:strRef>
                </c15:cat>
              </c15:filteredCategoryTitle>
            </c:ext>
            <c:ext xmlns:c16="http://schemas.microsoft.com/office/drawing/2014/chart" uri="{C3380CC4-5D6E-409C-BE32-E72D297353CC}">
              <c16:uniqueId val="{00000002-4076-432A-A7F7-4BF0069E64B3}"/>
            </c:ext>
          </c:extLst>
        </c:ser>
        <c:ser>
          <c:idx val="3"/>
          <c:order val="3"/>
          <c:tx>
            <c:strRef>
              <c:f>'Resultados Oc'!$A$111</c:f>
              <c:strCache>
                <c:ptCount val="1"/>
                <c:pt idx="0">
                  <c:v>Costos de personal</c:v>
                </c:pt>
              </c:strCache>
            </c:strRef>
          </c:tx>
          <c:spPr>
            <a:solidFill>
              <a:schemeClr val="accent4"/>
            </a:solidFill>
            <a:ln>
              <a:noFill/>
            </a:ln>
            <a:effectLst/>
          </c:spPr>
          <c:invertIfNegative val="0"/>
          <c:val>
            <c:numRef>
              <c:f>'Resultados Oc'!$B$111:$E$111</c:f>
              <c:numCache>
                <c:formatCode>[$$-45C]#,##0</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Oc'!$B$107:$E$107</c15:sqref>
                        </c15:formulaRef>
                      </c:ext>
                    </c:extLst>
                    <c:strCache>
                      <c:ptCount val="4"/>
                      <c:pt idx="0">
                        <c:v>Línea base</c:v>
                      </c:pt>
                      <c:pt idx="1">
                        <c:v>#¡VALOR!</c:v>
                      </c:pt>
                      <c:pt idx="2">
                        <c:v>Escenario 2</c:v>
                      </c:pt>
                      <c:pt idx="3">
                        <c:v>Escenario 3</c:v>
                      </c:pt>
                    </c:strCache>
                  </c:strRef>
                </c15:cat>
              </c15:filteredCategoryTitle>
            </c:ext>
            <c:ext xmlns:c16="http://schemas.microsoft.com/office/drawing/2014/chart" uri="{C3380CC4-5D6E-409C-BE32-E72D297353CC}">
              <c16:uniqueId val="{00000003-4076-432A-A7F7-4BF0069E64B3}"/>
            </c:ext>
          </c:extLst>
        </c:ser>
        <c:ser>
          <c:idx val="4"/>
          <c:order val="4"/>
          <c:tx>
            <c:strRef>
              <c:f>'Resultados Oc'!$A$112</c:f>
              <c:strCache>
                <c:ptCount val="1"/>
                <c:pt idx="0">
                  <c:v>Gastos de administración</c:v>
                </c:pt>
              </c:strCache>
            </c:strRef>
          </c:tx>
          <c:spPr>
            <a:solidFill>
              <a:schemeClr val="accent5"/>
            </a:solidFill>
            <a:ln>
              <a:noFill/>
            </a:ln>
            <a:effectLst/>
          </c:spPr>
          <c:invertIfNegative val="0"/>
          <c:val>
            <c:numRef>
              <c:f>'Resultados Oc'!$B$112:$E$112</c:f>
              <c:numCache>
                <c:formatCode>[$$-45C]#,##0</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Oc'!$B$107:$E$107</c15:sqref>
                        </c15:formulaRef>
                      </c:ext>
                    </c:extLst>
                    <c:strCache>
                      <c:ptCount val="4"/>
                      <c:pt idx="0">
                        <c:v>Línea base</c:v>
                      </c:pt>
                      <c:pt idx="1">
                        <c:v>#¡VALOR!</c:v>
                      </c:pt>
                      <c:pt idx="2">
                        <c:v>Escenario 2</c:v>
                      </c:pt>
                      <c:pt idx="3">
                        <c:v>Escenario 3</c:v>
                      </c:pt>
                    </c:strCache>
                  </c:strRef>
                </c15:cat>
              </c15:filteredCategoryTitle>
            </c:ext>
            <c:ext xmlns:c16="http://schemas.microsoft.com/office/drawing/2014/chart" uri="{C3380CC4-5D6E-409C-BE32-E72D297353CC}">
              <c16:uniqueId val="{00000004-4076-432A-A7F7-4BF0069E64B3}"/>
            </c:ext>
          </c:extLst>
        </c:ser>
        <c:ser>
          <c:idx val="5"/>
          <c:order val="5"/>
          <c:tx>
            <c:strRef>
              <c:f>'Resultados Oc'!$A$113</c:f>
              <c:strCache>
                <c:ptCount val="1"/>
                <c:pt idx="0">
                  <c:v>Capital de trabajo</c:v>
                </c:pt>
              </c:strCache>
            </c:strRef>
          </c:tx>
          <c:spPr>
            <a:solidFill>
              <a:schemeClr val="accent6"/>
            </a:solidFill>
            <a:ln>
              <a:noFill/>
            </a:ln>
            <a:effectLst/>
          </c:spPr>
          <c:invertIfNegative val="0"/>
          <c:val>
            <c:numRef>
              <c:f>'Resultados Oc'!$B$113:$E$113</c:f>
              <c:numCache>
                <c:formatCode>[$$-45C]#,##0</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Oc'!$B$107:$E$107</c15:sqref>
                        </c15:formulaRef>
                      </c:ext>
                    </c:extLst>
                    <c:strCache>
                      <c:ptCount val="4"/>
                      <c:pt idx="0">
                        <c:v>Línea base</c:v>
                      </c:pt>
                      <c:pt idx="1">
                        <c:v>#¡VALOR!</c:v>
                      </c:pt>
                      <c:pt idx="2">
                        <c:v>Escenario 2</c:v>
                      </c:pt>
                      <c:pt idx="3">
                        <c:v>Escenario 3</c:v>
                      </c:pt>
                    </c:strCache>
                  </c:strRef>
                </c15:cat>
              </c15:filteredCategoryTitle>
            </c:ext>
            <c:ext xmlns:c16="http://schemas.microsoft.com/office/drawing/2014/chart" uri="{C3380CC4-5D6E-409C-BE32-E72D297353CC}">
              <c16:uniqueId val="{00000005-4076-432A-A7F7-4BF0069E64B3}"/>
            </c:ext>
          </c:extLst>
        </c:ser>
        <c:ser>
          <c:idx val="6"/>
          <c:order val="6"/>
          <c:tx>
            <c:strRef>
              <c:f>'Resultados Oc'!$A$114</c:f>
              <c:strCache>
                <c:ptCount val="1"/>
                <c:pt idx="0">
                  <c:v>Compra de material</c:v>
                </c:pt>
              </c:strCache>
            </c:strRef>
          </c:tx>
          <c:spPr>
            <a:solidFill>
              <a:schemeClr val="accent1">
                <a:lumMod val="60000"/>
              </a:schemeClr>
            </a:solidFill>
            <a:ln>
              <a:noFill/>
            </a:ln>
            <a:effectLst/>
          </c:spPr>
          <c:invertIfNegative val="0"/>
          <c:val>
            <c:numRef>
              <c:f>'Resultados Oc'!$B$114:$E$114</c:f>
              <c:numCache>
                <c:formatCode>[$$-45C]#,##0</c:formatCode>
                <c:ptCount val="4"/>
                <c:pt idx="0">
                  <c:v>0</c:v>
                </c:pt>
                <c:pt idx="1">
                  <c:v>0</c:v>
                </c:pt>
                <c:pt idx="2">
                  <c:v>0</c:v>
                </c:pt>
                <c:pt idx="3">
                  <c:v>0</c:v>
                </c:pt>
              </c:numCache>
            </c:numRef>
          </c:val>
          <c:extLst>
            <c:ext xmlns:c15="http://schemas.microsoft.com/office/drawing/2012/chart" uri="{02D57815-91ED-43cb-92C2-25804820EDAC}">
              <c15:filteredCategoryTitle>
                <c15:cat>
                  <c:strRef>
                    <c:extLst>
                      <c:ext uri="{02D57815-91ED-43cb-92C2-25804820EDAC}">
                        <c15:formulaRef>
                          <c15:sqref>'Resultados Oc'!$B$107:$E$107</c15:sqref>
                        </c15:formulaRef>
                      </c:ext>
                    </c:extLst>
                    <c:strCache>
                      <c:ptCount val="4"/>
                      <c:pt idx="0">
                        <c:v>Línea base</c:v>
                      </c:pt>
                      <c:pt idx="1">
                        <c:v>#¡VALOR!</c:v>
                      </c:pt>
                      <c:pt idx="2">
                        <c:v>Escenario 2</c:v>
                      </c:pt>
                      <c:pt idx="3">
                        <c:v>Escenario 3</c:v>
                      </c:pt>
                    </c:strCache>
                  </c:strRef>
                </c15:cat>
              </c15:filteredCategoryTitle>
            </c:ext>
            <c:ext xmlns:c16="http://schemas.microsoft.com/office/drawing/2014/chart" uri="{C3380CC4-5D6E-409C-BE32-E72D297353CC}">
              <c16:uniqueId val="{00000006-4076-432A-A7F7-4BF0069E64B3}"/>
            </c:ext>
          </c:extLst>
        </c:ser>
        <c:dLbls>
          <c:showLegendKey val="0"/>
          <c:showVal val="0"/>
          <c:showCatName val="0"/>
          <c:showSerName val="0"/>
          <c:showPercent val="0"/>
          <c:showBubbleSize val="0"/>
        </c:dLbls>
        <c:gapWidth val="150"/>
        <c:overlap val="100"/>
        <c:axId val="528844800"/>
        <c:axId val="528845128"/>
      </c:barChart>
      <c:catAx>
        <c:axId val="528844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845128"/>
        <c:crosses val="autoZero"/>
        <c:auto val="1"/>
        <c:lblAlgn val="ctr"/>
        <c:lblOffset val="100"/>
        <c:noMultiLvlLbl val="0"/>
      </c:catAx>
      <c:valAx>
        <c:axId val="5288451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844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Datos Generales'!A1"/><Relationship Id="rId1" Type="http://schemas.openxmlformats.org/officeDocument/2006/relationships/hyperlink" Target="#Instrucciones!B4"/></Relationships>
</file>

<file path=xl/drawings/_rels/drawing1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16.emf"/><Relationship Id="rId2" Type="http://schemas.openxmlformats.org/officeDocument/2006/relationships/image" Target="../media/image315.emf"/><Relationship Id="rId1" Type="http://schemas.openxmlformats.org/officeDocument/2006/relationships/image" Target="../media/image314.emf"/><Relationship Id="rId4" Type="http://schemas.openxmlformats.org/officeDocument/2006/relationships/image" Target="../media/image317.emf"/></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gi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23.emf"/><Relationship Id="rId13" Type="http://schemas.openxmlformats.org/officeDocument/2006/relationships/image" Target="../media/image28.emf"/><Relationship Id="rId18" Type="http://schemas.openxmlformats.org/officeDocument/2006/relationships/image" Target="../media/image33.emf"/><Relationship Id="rId26" Type="http://schemas.openxmlformats.org/officeDocument/2006/relationships/image" Target="../media/image41.emf"/><Relationship Id="rId39" Type="http://schemas.openxmlformats.org/officeDocument/2006/relationships/image" Target="../media/image54.emf"/><Relationship Id="rId3" Type="http://schemas.openxmlformats.org/officeDocument/2006/relationships/image" Target="../media/image18.png"/><Relationship Id="rId21" Type="http://schemas.openxmlformats.org/officeDocument/2006/relationships/image" Target="../media/image36.emf"/><Relationship Id="rId34" Type="http://schemas.openxmlformats.org/officeDocument/2006/relationships/image" Target="../media/image49.emf"/><Relationship Id="rId7" Type="http://schemas.openxmlformats.org/officeDocument/2006/relationships/image" Target="../media/image22.png"/><Relationship Id="rId12" Type="http://schemas.openxmlformats.org/officeDocument/2006/relationships/image" Target="../media/image27.emf"/><Relationship Id="rId17" Type="http://schemas.openxmlformats.org/officeDocument/2006/relationships/image" Target="../media/image32.emf"/><Relationship Id="rId25" Type="http://schemas.openxmlformats.org/officeDocument/2006/relationships/image" Target="../media/image40.emf"/><Relationship Id="rId33" Type="http://schemas.openxmlformats.org/officeDocument/2006/relationships/image" Target="../media/image48.emf"/><Relationship Id="rId38" Type="http://schemas.openxmlformats.org/officeDocument/2006/relationships/image" Target="../media/image53.emf"/><Relationship Id="rId2" Type="http://schemas.openxmlformats.org/officeDocument/2006/relationships/image" Target="../media/image17.png"/><Relationship Id="rId16" Type="http://schemas.openxmlformats.org/officeDocument/2006/relationships/image" Target="../media/image31.emf"/><Relationship Id="rId20" Type="http://schemas.openxmlformats.org/officeDocument/2006/relationships/image" Target="../media/image35.emf"/><Relationship Id="rId29" Type="http://schemas.openxmlformats.org/officeDocument/2006/relationships/image" Target="../media/image44.emf"/><Relationship Id="rId41" Type="http://schemas.openxmlformats.org/officeDocument/2006/relationships/image" Target="../media/image56.emf"/><Relationship Id="rId1" Type="http://schemas.openxmlformats.org/officeDocument/2006/relationships/image" Target="../media/image13.png"/><Relationship Id="rId6" Type="http://schemas.openxmlformats.org/officeDocument/2006/relationships/image" Target="../media/image21.png"/><Relationship Id="rId11" Type="http://schemas.openxmlformats.org/officeDocument/2006/relationships/image" Target="../media/image26.emf"/><Relationship Id="rId24" Type="http://schemas.openxmlformats.org/officeDocument/2006/relationships/image" Target="../media/image39.emf"/><Relationship Id="rId32" Type="http://schemas.openxmlformats.org/officeDocument/2006/relationships/image" Target="../media/image47.emf"/><Relationship Id="rId37" Type="http://schemas.openxmlformats.org/officeDocument/2006/relationships/image" Target="../media/image52.emf"/><Relationship Id="rId40" Type="http://schemas.openxmlformats.org/officeDocument/2006/relationships/image" Target="../media/image55.png"/><Relationship Id="rId5" Type="http://schemas.openxmlformats.org/officeDocument/2006/relationships/image" Target="../media/image20.png"/><Relationship Id="rId15" Type="http://schemas.openxmlformats.org/officeDocument/2006/relationships/image" Target="../media/image30.emf"/><Relationship Id="rId23" Type="http://schemas.openxmlformats.org/officeDocument/2006/relationships/image" Target="../media/image38.emf"/><Relationship Id="rId28" Type="http://schemas.openxmlformats.org/officeDocument/2006/relationships/image" Target="../media/image43.emf"/><Relationship Id="rId36" Type="http://schemas.openxmlformats.org/officeDocument/2006/relationships/image" Target="../media/image51.emf"/><Relationship Id="rId10" Type="http://schemas.openxmlformats.org/officeDocument/2006/relationships/image" Target="../media/image25.emf"/><Relationship Id="rId19" Type="http://schemas.openxmlformats.org/officeDocument/2006/relationships/image" Target="../media/image34.emf"/><Relationship Id="rId31" Type="http://schemas.openxmlformats.org/officeDocument/2006/relationships/image" Target="../media/image46.emf"/><Relationship Id="rId4" Type="http://schemas.openxmlformats.org/officeDocument/2006/relationships/image" Target="../media/image19.png"/><Relationship Id="rId9" Type="http://schemas.openxmlformats.org/officeDocument/2006/relationships/image" Target="../media/image24.emf"/><Relationship Id="rId14" Type="http://schemas.openxmlformats.org/officeDocument/2006/relationships/image" Target="../media/image29.emf"/><Relationship Id="rId22" Type="http://schemas.openxmlformats.org/officeDocument/2006/relationships/image" Target="../media/image37.emf"/><Relationship Id="rId27" Type="http://schemas.openxmlformats.org/officeDocument/2006/relationships/image" Target="../media/image42.emf"/><Relationship Id="rId30" Type="http://schemas.openxmlformats.org/officeDocument/2006/relationships/image" Target="../media/image45.emf"/><Relationship Id="rId35" Type="http://schemas.openxmlformats.org/officeDocument/2006/relationships/image" Target="../media/image5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320.emf"/><Relationship Id="rId2" Type="http://schemas.openxmlformats.org/officeDocument/2006/relationships/image" Target="../media/image319.emf"/><Relationship Id="rId1" Type="http://schemas.openxmlformats.org/officeDocument/2006/relationships/image" Target="../media/image318.emf"/><Relationship Id="rId4" Type="http://schemas.openxmlformats.org/officeDocument/2006/relationships/image" Target="../media/image32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1.emf"/><Relationship Id="rId7" Type="http://schemas.openxmlformats.org/officeDocument/2006/relationships/image" Target="../media/image57.emf"/><Relationship Id="rId2" Type="http://schemas.openxmlformats.org/officeDocument/2006/relationships/image" Target="../media/image62.emf"/><Relationship Id="rId1" Type="http://schemas.openxmlformats.org/officeDocument/2006/relationships/image" Target="../media/image63.emf"/><Relationship Id="rId6" Type="http://schemas.openxmlformats.org/officeDocument/2006/relationships/image" Target="../media/image58.emf"/><Relationship Id="rId5" Type="http://schemas.openxmlformats.org/officeDocument/2006/relationships/image" Target="../media/image59.emf"/><Relationship Id="rId4" Type="http://schemas.openxmlformats.org/officeDocument/2006/relationships/image" Target="../media/image60.emf"/></Relationships>
</file>

<file path=xl/drawings/_rels/vmlDrawing5.vml.rels><?xml version="1.0" encoding="UTF-8" standalone="yes"?>
<Relationships xmlns="http://schemas.openxmlformats.org/package/2006/relationships"><Relationship Id="rId26" Type="http://schemas.openxmlformats.org/officeDocument/2006/relationships/image" Target="../media/image89.emf"/><Relationship Id="rId117" Type="http://schemas.openxmlformats.org/officeDocument/2006/relationships/image" Target="../media/image180.emf"/><Relationship Id="rId21" Type="http://schemas.openxmlformats.org/officeDocument/2006/relationships/image" Target="../media/image84.emf"/><Relationship Id="rId42" Type="http://schemas.openxmlformats.org/officeDocument/2006/relationships/image" Target="../media/image105.emf"/><Relationship Id="rId47" Type="http://schemas.openxmlformats.org/officeDocument/2006/relationships/image" Target="../media/image110.emf"/><Relationship Id="rId63" Type="http://schemas.openxmlformats.org/officeDocument/2006/relationships/image" Target="../media/image126.emf"/><Relationship Id="rId68" Type="http://schemas.openxmlformats.org/officeDocument/2006/relationships/image" Target="../media/image131.emf"/><Relationship Id="rId84" Type="http://schemas.openxmlformats.org/officeDocument/2006/relationships/image" Target="../media/image147.emf"/><Relationship Id="rId89" Type="http://schemas.openxmlformats.org/officeDocument/2006/relationships/image" Target="../media/image152.emf"/><Relationship Id="rId112" Type="http://schemas.openxmlformats.org/officeDocument/2006/relationships/image" Target="../media/image175.emf"/><Relationship Id="rId16" Type="http://schemas.openxmlformats.org/officeDocument/2006/relationships/image" Target="../media/image79.emf"/><Relationship Id="rId107" Type="http://schemas.openxmlformats.org/officeDocument/2006/relationships/image" Target="../media/image170.emf"/><Relationship Id="rId11" Type="http://schemas.openxmlformats.org/officeDocument/2006/relationships/image" Target="../media/image74.emf"/><Relationship Id="rId32" Type="http://schemas.openxmlformats.org/officeDocument/2006/relationships/image" Target="../media/image95.emf"/><Relationship Id="rId37" Type="http://schemas.openxmlformats.org/officeDocument/2006/relationships/image" Target="../media/image100.emf"/><Relationship Id="rId53" Type="http://schemas.openxmlformats.org/officeDocument/2006/relationships/image" Target="../media/image116.emf"/><Relationship Id="rId58" Type="http://schemas.openxmlformats.org/officeDocument/2006/relationships/image" Target="../media/image121.emf"/><Relationship Id="rId74" Type="http://schemas.openxmlformats.org/officeDocument/2006/relationships/image" Target="../media/image137.emf"/><Relationship Id="rId79" Type="http://schemas.openxmlformats.org/officeDocument/2006/relationships/image" Target="../media/image142.emf"/><Relationship Id="rId102" Type="http://schemas.openxmlformats.org/officeDocument/2006/relationships/image" Target="../media/image165.emf"/><Relationship Id="rId123" Type="http://schemas.openxmlformats.org/officeDocument/2006/relationships/image" Target="../media/image186.emf"/><Relationship Id="rId128" Type="http://schemas.openxmlformats.org/officeDocument/2006/relationships/image" Target="../media/image191.emf"/><Relationship Id="rId5" Type="http://schemas.openxmlformats.org/officeDocument/2006/relationships/image" Target="../media/image68.emf"/><Relationship Id="rId90" Type="http://schemas.openxmlformats.org/officeDocument/2006/relationships/image" Target="../media/image153.emf"/><Relationship Id="rId95" Type="http://schemas.openxmlformats.org/officeDocument/2006/relationships/image" Target="../media/image158.emf"/><Relationship Id="rId19" Type="http://schemas.openxmlformats.org/officeDocument/2006/relationships/image" Target="../media/image82.emf"/><Relationship Id="rId14" Type="http://schemas.openxmlformats.org/officeDocument/2006/relationships/image" Target="../media/image77.emf"/><Relationship Id="rId22" Type="http://schemas.openxmlformats.org/officeDocument/2006/relationships/image" Target="../media/image85.emf"/><Relationship Id="rId27" Type="http://schemas.openxmlformats.org/officeDocument/2006/relationships/image" Target="../media/image90.emf"/><Relationship Id="rId30" Type="http://schemas.openxmlformats.org/officeDocument/2006/relationships/image" Target="../media/image93.emf"/><Relationship Id="rId35" Type="http://schemas.openxmlformats.org/officeDocument/2006/relationships/image" Target="../media/image98.emf"/><Relationship Id="rId43" Type="http://schemas.openxmlformats.org/officeDocument/2006/relationships/image" Target="../media/image106.emf"/><Relationship Id="rId48" Type="http://schemas.openxmlformats.org/officeDocument/2006/relationships/image" Target="../media/image111.emf"/><Relationship Id="rId56" Type="http://schemas.openxmlformats.org/officeDocument/2006/relationships/image" Target="../media/image119.emf"/><Relationship Id="rId64" Type="http://schemas.openxmlformats.org/officeDocument/2006/relationships/image" Target="../media/image127.emf"/><Relationship Id="rId69" Type="http://schemas.openxmlformats.org/officeDocument/2006/relationships/image" Target="../media/image132.emf"/><Relationship Id="rId77" Type="http://schemas.openxmlformats.org/officeDocument/2006/relationships/image" Target="../media/image140.emf"/><Relationship Id="rId100" Type="http://schemas.openxmlformats.org/officeDocument/2006/relationships/image" Target="../media/image163.emf"/><Relationship Id="rId105" Type="http://schemas.openxmlformats.org/officeDocument/2006/relationships/image" Target="../media/image168.emf"/><Relationship Id="rId113" Type="http://schemas.openxmlformats.org/officeDocument/2006/relationships/image" Target="../media/image176.emf"/><Relationship Id="rId118" Type="http://schemas.openxmlformats.org/officeDocument/2006/relationships/image" Target="../media/image181.emf"/><Relationship Id="rId126" Type="http://schemas.openxmlformats.org/officeDocument/2006/relationships/image" Target="../media/image189.emf"/><Relationship Id="rId8" Type="http://schemas.openxmlformats.org/officeDocument/2006/relationships/image" Target="../media/image71.emf"/><Relationship Id="rId51" Type="http://schemas.openxmlformats.org/officeDocument/2006/relationships/image" Target="../media/image114.emf"/><Relationship Id="rId72" Type="http://schemas.openxmlformats.org/officeDocument/2006/relationships/image" Target="../media/image135.emf"/><Relationship Id="rId80" Type="http://schemas.openxmlformats.org/officeDocument/2006/relationships/image" Target="../media/image143.emf"/><Relationship Id="rId85" Type="http://schemas.openxmlformats.org/officeDocument/2006/relationships/image" Target="../media/image148.emf"/><Relationship Id="rId93" Type="http://schemas.openxmlformats.org/officeDocument/2006/relationships/image" Target="../media/image156.emf"/><Relationship Id="rId98" Type="http://schemas.openxmlformats.org/officeDocument/2006/relationships/image" Target="../media/image161.emf"/><Relationship Id="rId121" Type="http://schemas.openxmlformats.org/officeDocument/2006/relationships/image" Target="../media/image184.emf"/><Relationship Id="rId3" Type="http://schemas.openxmlformats.org/officeDocument/2006/relationships/image" Target="../media/image66.emf"/><Relationship Id="rId12" Type="http://schemas.openxmlformats.org/officeDocument/2006/relationships/image" Target="../media/image75.emf"/><Relationship Id="rId17" Type="http://schemas.openxmlformats.org/officeDocument/2006/relationships/image" Target="../media/image80.emf"/><Relationship Id="rId25" Type="http://schemas.openxmlformats.org/officeDocument/2006/relationships/image" Target="../media/image88.emf"/><Relationship Id="rId33" Type="http://schemas.openxmlformats.org/officeDocument/2006/relationships/image" Target="../media/image96.emf"/><Relationship Id="rId38" Type="http://schemas.openxmlformats.org/officeDocument/2006/relationships/image" Target="../media/image101.emf"/><Relationship Id="rId46" Type="http://schemas.openxmlformats.org/officeDocument/2006/relationships/image" Target="../media/image109.emf"/><Relationship Id="rId59" Type="http://schemas.openxmlformats.org/officeDocument/2006/relationships/image" Target="../media/image122.emf"/><Relationship Id="rId67" Type="http://schemas.openxmlformats.org/officeDocument/2006/relationships/image" Target="../media/image130.emf"/><Relationship Id="rId103" Type="http://schemas.openxmlformats.org/officeDocument/2006/relationships/image" Target="../media/image166.emf"/><Relationship Id="rId108" Type="http://schemas.openxmlformats.org/officeDocument/2006/relationships/image" Target="../media/image171.emf"/><Relationship Id="rId116" Type="http://schemas.openxmlformats.org/officeDocument/2006/relationships/image" Target="../media/image179.emf"/><Relationship Id="rId124" Type="http://schemas.openxmlformats.org/officeDocument/2006/relationships/image" Target="../media/image187.emf"/><Relationship Id="rId129" Type="http://schemas.openxmlformats.org/officeDocument/2006/relationships/image" Target="../media/image192.emf"/><Relationship Id="rId20" Type="http://schemas.openxmlformats.org/officeDocument/2006/relationships/image" Target="../media/image83.emf"/><Relationship Id="rId41" Type="http://schemas.openxmlformats.org/officeDocument/2006/relationships/image" Target="../media/image104.emf"/><Relationship Id="rId54" Type="http://schemas.openxmlformats.org/officeDocument/2006/relationships/image" Target="../media/image117.emf"/><Relationship Id="rId62" Type="http://schemas.openxmlformats.org/officeDocument/2006/relationships/image" Target="../media/image125.emf"/><Relationship Id="rId70" Type="http://schemas.openxmlformats.org/officeDocument/2006/relationships/image" Target="../media/image133.emf"/><Relationship Id="rId75" Type="http://schemas.openxmlformats.org/officeDocument/2006/relationships/image" Target="../media/image138.emf"/><Relationship Id="rId83" Type="http://schemas.openxmlformats.org/officeDocument/2006/relationships/image" Target="../media/image146.emf"/><Relationship Id="rId88" Type="http://schemas.openxmlformats.org/officeDocument/2006/relationships/image" Target="../media/image151.emf"/><Relationship Id="rId91" Type="http://schemas.openxmlformats.org/officeDocument/2006/relationships/image" Target="../media/image154.emf"/><Relationship Id="rId96" Type="http://schemas.openxmlformats.org/officeDocument/2006/relationships/image" Target="../media/image159.emf"/><Relationship Id="rId111" Type="http://schemas.openxmlformats.org/officeDocument/2006/relationships/image" Target="../media/image174.emf"/><Relationship Id="rId1" Type="http://schemas.openxmlformats.org/officeDocument/2006/relationships/image" Target="../media/image64.emf"/><Relationship Id="rId6" Type="http://schemas.openxmlformats.org/officeDocument/2006/relationships/image" Target="../media/image69.emf"/><Relationship Id="rId15" Type="http://schemas.openxmlformats.org/officeDocument/2006/relationships/image" Target="../media/image78.emf"/><Relationship Id="rId23" Type="http://schemas.openxmlformats.org/officeDocument/2006/relationships/image" Target="../media/image86.emf"/><Relationship Id="rId28" Type="http://schemas.openxmlformats.org/officeDocument/2006/relationships/image" Target="../media/image91.emf"/><Relationship Id="rId36" Type="http://schemas.openxmlformats.org/officeDocument/2006/relationships/image" Target="../media/image99.emf"/><Relationship Id="rId49" Type="http://schemas.openxmlformats.org/officeDocument/2006/relationships/image" Target="../media/image112.emf"/><Relationship Id="rId57" Type="http://schemas.openxmlformats.org/officeDocument/2006/relationships/image" Target="../media/image120.emf"/><Relationship Id="rId106" Type="http://schemas.openxmlformats.org/officeDocument/2006/relationships/image" Target="../media/image169.emf"/><Relationship Id="rId114" Type="http://schemas.openxmlformats.org/officeDocument/2006/relationships/image" Target="../media/image177.emf"/><Relationship Id="rId119" Type="http://schemas.openxmlformats.org/officeDocument/2006/relationships/image" Target="../media/image182.emf"/><Relationship Id="rId127" Type="http://schemas.openxmlformats.org/officeDocument/2006/relationships/image" Target="../media/image190.emf"/><Relationship Id="rId10" Type="http://schemas.openxmlformats.org/officeDocument/2006/relationships/image" Target="../media/image73.emf"/><Relationship Id="rId31" Type="http://schemas.openxmlformats.org/officeDocument/2006/relationships/image" Target="../media/image94.emf"/><Relationship Id="rId44" Type="http://schemas.openxmlformats.org/officeDocument/2006/relationships/image" Target="../media/image107.emf"/><Relationship Id="rId52" Type="http://schemas.openxmlformats.org/officeDocument/2006/relationships/image" Target="../media/image115.emf"/><Relationship Id="rId60" Type="http://schemas.openxmlformats.org/officeDocument/2006/relationships/image" Target="../media/image123.emf"/><Relationship Id="rId65" Type="http://schemas.openxmlformats.org/officeDocument/2006/relationships/image" Target="../media/image128.emf"/><Relationship Id="rId73" Type="http://schemas.openxmlformats.org/officeDocument/2006/relationships/image" Target="../media/image136.emf"/><Relationship Id="rId78" Type="http://schemas.openxmlformats.org/officeDocument/2006/relationships/image" Target="../media/image141.emf"/><Relationship Id="rId81" Type="http://schemas.openxmlformats.org/officeDocument/2006/relationships/image" Target="../media/image144.emf"/><Relationship Id="rId86" Type="http://schemas.openxmlformats.org/officeDocument/2006/relationships/image" Target="../media/image149.emf"/><Relationship Id="rId94" Type="http://schemas.openxmlformats.org/officeDocument/2006/relationships/image" Target="../media/image157.emf"/><Relationship Id="rId99" Type="http://schemas.openxmlformats.org/officeDocument/2006/relationships/image" Target="../media/image162.emf"/><Relationship Id="rId101" Type="http://schemas.openxmlformats.org/officeDocument/2006/relationships/image" Target="../media/image164.emf"/><Relationship Id="rId122" Type="http://schemas.openxmlformats.org/officeDocument/2006/relationships/image" Target="../media/image185.emf"/><Relationship Id="rId4" Type="http://schemas.openxmlformats.org/officeDocument/2006/relationships/image" Target="../media/image67.emf"/><Relationship Id="rId9" Type="http://schemas.openxmlformats.org/officeDocument/2006/relationships/image" Target="../media/image72.emf"/><Relationship Id="rId13" Type="http://schemas.openxmlformats.org/officeDocument/2006/relationships/image" Target="../media/image76.emf"/><Relationship Id="rId18" Type="http://schemas.openxmlformats.org/officeDocument/2006/relationships/image" Target="../media/image81.emf"/><Relationship Id="rId39" Type="http://schemas.openxmlformats.org/officeDocument/2006/relationships/image" Target="../media/image102.emf"/><Relationship Id="rId109" Type="http://schemas.openxmlformats.org/officeDocument/2006/relationships/image" Target="../media/image172.emf"/><Relationship Id="rId34" Type="http://schemas.openxmlformats.org/officeDocument/2006/relationships/image" Target="../media/image97.emf"/><Relationship Id="rId50" Type="http://schemas.openxmlformats.org/officeDocument/2006/relationships/image" Target="../media/image113.emf"/><Relationship Id="rId55" Type="http://schemas.openxmlformats.org/officeDocument/2006/relationships/image" Target="../media/image118.emf"/><Relationship Id="rId76" Type="http://schemas.openxmlformats.org/officeDocument/2006/relationships/image" Target="../media/image139.emf"/><Relationship Id="rId97" Type="http://schemas.openxmlformats.org/officeDocument/2006/relationships/image" Target="../media/image160.emf"/><Relationship Id="rId104" Type="http://schemas.openxmlformats.org/officeDocument/2006/relationships/image" Target="../media/image167.emf"/><Relationship Id="rId120" Type="http://schemas.openxmlformats.org/officeDocument/2006/relationships/image" Target="../media/image183.emf"/><Relationship Id="rId125" Type="http://schemas.openxmlformats.org/officeDocument/2006/relationships/image" Target="../media/image188.emf"/><Relationship Id="rId7" Type="http://schemas.openxmlformats.org/officeDocument/2006/relationships/image" Target="../media/image70.emf"/><Relationship Id="rId71" Type="http://schemas.openxmlformats.org/officeDocument/2006/relationships/image" Target="../media/image134.emf"/><Relationship Id="rId92" Type="http://schemas.openxmlformats.org/officeDocument/2006/relationships/image" Target="../media/image155.emf"/><Relationship Id="rId2" Type="http://schemas.openxmlformats.org/officeDocument/2006/relationships/image" Target="../media/image65.emf"/><Relationship Id="rId29" Type="http://schemas.openxmlformats.org/officeDocument/2006/relationships/image" Target="../media/image92.emf"/><Relationship Id="rId24" Type="http://schemas.openxmlformats.org/officeDocument/2006/relationships/image" Target="../media/image87.emf"/><Relationship Id="rId40" Type="http://schemas.openxmlformats.org/officeDocument/2006/relationships/image" Target="../media/image103.emf"/><Relationship Id="rId45" Type="http://schemas.openxmlformats.org/officeDocument/2006/relationships/image" Target="../media/image108.emf"/><Relationship Id="rId66" Type="http://schemas.openxmlformats.org/officeDocument/2006/relationships/image" Target="../media/image129.emf"/><Relationship Id="rId87" Type="http://schemas.openxmlformats.org/officeDocument/2006/relationships/image" Target="../media/image150.emf"/><Relationship Id="rId110" Type="http://schemas.openxmlformats.org/officeDocument/2006/relationships/image" Target="../media/image173.emf"/><Relationship Id="rId115" Type="http://schemas.openxmlformats.org/officeDocument/2006/relationships/image" Target="../media/image178.emf"/><Relationship Id="rId61" Type="http://schemas.openxmlformats.org/officeDocument/2006/relationships/image" Target="../media/image124.emf"/><Relationship Id="rId82" Type="http://schemas.openxmlformats.org/officeDocument/2006/relationships/image" Target="../media/image145.emf"/></Relationships>
</file>

<file path=xl/drawings/_rels/vmlDrawing6.vml.rels><?xml version="1.0" encoding="UTF-8" standalone="yes"?>
<Relationships xmlns="http://schemas.openxmlformats.org/package/2006/relationships"><Relationship Id="rId26" Type="http://schemas.openxmlformats.org/officeDocument/2006/relationships/image" Target="../media/image214.emf"/><Relationship Id="rId117" Type="http://schemas.openxmlformats.org/officeDocument/2006/relationships/image" Target="../media/image305.emf"/><Relationship Id="rId21" Type="http://schemas.openxmlformats.org/officeDocument/2006/relationships/image" Target="../media/image209.emf"/><Relationship Id="rId42" Type="http://schemas.openxmlformats.org/officeDocument/2006/relationships/image" Target="../media/image230.emf"/><Relationship Id="rId47" Type="http://schemas.openxmlformats.org/officeDocument/2006/relationships/image" Target="../media/image235.emf"/><Relationship Id="rId63" Type="http://schemas.openxmlformats.org/officeDocument/2006/relationships/image" Target="../media/image251.emf"/><Relationship Id="rId68" Type="http://schemas.openxmlformats.org/officeDocument/2006/relationships/image" Target="../media/image256.emf"/><Relationship Id="rId84" Type="http://schemas.openxmlformats.org/officeDocument/2006/relationships/image" Target="../media/image272.emf"/><Relationship Id="rId89" Type="http://schemas.openxmlformats.org/officeDocument/2006/relationships/image" Target="../media/image277.emf"/><Relationship Id="rId112" Type="http://schemas.openxmlformats.org/officeDocument/2006/relationships/image" Target="../media/image300.emf"/><Relationship Id="rId16" Type="http://schemas.openxmlformats.org/officeDocument/2006/relationships/image" Target="../media/image204.emf"/><Relationship Id="rId107" Type="http://schemas.openxmlformats.org/officeDocument/2006/relationships/image" Target="../media/image295.emf"/><Relationship Id="rId11" Type="http://schemas.openxmlformats.org/officeDocument/2006/relationships/image" Target="../media/image199.emf"/><Relationship Id="rId32" Type="http://schemas.openxmlformats.org/officeDocument/2006/relationships/image" Target="../media/image220.emf"/><Relationship Id="rId37" Type="http://schemas.openxmlformats.org/officeDocument/2006/relationships/image" Target="../media/image225.emf"/><Relationship Id="rId53" Type="http://schemas.openxmlformats.org/officeDocument/2006/relationships/image" Target="../media/image241.emf"/><Relationship Id="rId58" Type="http://schemas.openxmlformats.org/officeDocument/2006/relationships/image" Target="../media/image246.emf"/><Relationship Id="rId74" Type="http://schemas.openxmlformats.org/officeDocument/2006/relationships/image" Target="../media/image262.emf"/><Relationship Id="rId79" Type="http://schemas.openxmlformats.org/officeDocument/2006/relationships/image" Target="../media/image267.emf"/><Relationship Id="rId102" Type="http://schemas.openxmlformats.org/officeDocument/2006/relationships/image" Target="../media/image290.emf"/><Relationship Id="rId123" Type="http://schemas.openxmlformats.org/officeDocument/2006/relationships/image" Target="../media/image311.emf"/><Relationship Id="rId5" Type="http://schemas.openxmlformats.org/officeDocument/2006/relationships/image" Target="../media/image71.emf"/><Relationship Id="rId61" Type="http://schemas.openxmlformats.org/officeDocument/2006/relationships/image" Target="../media/image249.emf"/><Relationship Id="rId82" Type="http://schemas.openxmlformats.org/officeDocument/2006/relationships/image" Target="../media/image270.emf"/><Relationship Id="rId90" Type="http://schemas.openxmlformats.org/officeDocument/2006/relationships/image" Target="../media/image278.emf"/><Relationship Id="rId95" Type="http://schemas.openxmlformats.org/officeDocument/2006/relationships/image" Target="../media/image283.emf"/><Relationship Id="rId19" Type="http://schemas.openxmlformats.org/officeDocument/2006/relationships/image" Target="../media/image207.emf"/><Relationship Id="rId14" Type="http://schemas.openxmlformats.org/officeDocument/2006/relationships/image" Target="../media/image202.emf"/><Relationship Id="rId22" Type="http://schemas.openxmlformats.org/officeDocument/2006/relationships/image" Target="../media/image210.emf"/><Relationship Id="rId27" Type="http://schemas.openxmlformats.org/officeDocument/2006/relationships/image" Target="../media/image215.emf"/><Relationship Id="rId30" Type="http://schemas.openxmlformats.org/officeDocument/2006/relationships/image" Target="../media/image218.emf"/><Relationship Id="rId35" Type="http://schemas.openxmlformats.org/officeDocument/2006/relationships/image" Target="../media/image223.emf"/><Relationship Id="rId43" Type="http://schemas.openxmlformats.org/officeDocument/2006/relationships/image" Target="../media/image231.emf"/><Relationship Id="rId48" Type="http://schemas.openxmlformats.org/officeDocument/2006/relationships/image" Target="../media/image236.emf"/><Relationship Id="rId56" Type="http://schemas.openxmlformats.org/officeDocument/2006/relationships/image" Target="../media/image244.emf"/><Relationship Id="rId64" Type="http://schemas.openxmlformats.org/officeDocument/2006/relationships/image" Target="../media/image252.emf"/><Relationship Id="rId69" Type="http://schemas.openxmlformats.org/officeDocument/2006/relationships/image" Target="../media/image257.emf"/><Relationship Id="rId77" Type="http://schemas.openxmlformats.org/officeDocument/2006/relationships/image" Target="../media/image265.emf"/><Relationship Id="rId100" Type="http://schemas.openxmlformats.org/officeDocument/2006/relationships/image" Target="../media/image288.emf"/><Relationship Id="rId105" Type="http://schemas.openxmlformats.org/officeDocument/2006/relationships/image" Target="../media/image293.emf"/><Relationship Id="rId113" Type="http://schemas.openxmlformats.org/officeDocument/2006/relationships/image" Target="../media/image301.emf"/><Relationship Id="rId118" Type="http://schemas.openxmlformats.org/officeDocument/2006/relationships/image" Target="../media/image306.emf"/><Relationship Id="rId8" Type="http://schemas.openxmlformats.org/officeDocument/2006/relationships/image" Target="../media/image74.emf"/><Relationship Id="rId51" Type="http://schemas.openxmlformats.org/officeDocument/2006/relationships/image" Target="../media/image239.emf"/><Relationship Id="rId72" Type="http://schemas.openxmlformats.org/officeDocument/2006/relationships/image" Target="../media/image260.emf"/><Relationship Id="rId80" Type="http://schemas.openxmlformats.org/officeDocument/2006/relationships/image" Target="../media/image268.emf"/><Relationship Id="rId85" Type="http://schemas.openxmlformats.org/officeDocument/2006/relationships/image" Target="../media/image273.emf"/><Relationship Id="rId93" Type="http://schemas.openxmlformats.org/officeDocument/2006/relationships/image" Target="../media/image281.emf"/><Relationship Id="rId98" Type="http://schemas.openxmlformats.org/officeDocument/2006/relationships/image" Target="../media/image286.emf"/><Relationship Id="rId121" Type="http://schemas.openxmlformats.org/officeDocument/2006/relationships/image" Target="../media/image309.emf"/><Relationship Id="rId3" Type="http://schemas.openxmlformats.org/officeDocument/2006/relationships/image" Target="../media/image195.emf"/><Relationship Id="rId12" Type="http://schemas.openxmlformats.org/officeDocument/2006/relationships/image" Target="../media/image200.emf"/><Relationship Id="rId17" Type="http://schemas.openxmlformats.org/officeDocument/2006/relationships/image" Target="../media/image205.emf"/><Relationship Id="rId25" Type="http://schemas.openxmlformats.org/officeDocument/2006/relationships/image" Target="../media/image213.emf"/><Relationship Id="rId33" Type="http://schemas.openxmlformats.org/officeDocument/2006/relationships/image" Target="../media/image221.emf"/><Relationship Id="rId38" Type="http://schemas.openxmlformats.org/officeDocument/2006/relationships/image" Target="../media/image226.emf"/><Relationship Id="rId46" Type="http://schemas.openxmlformats.org/officeDocument/2006/relationships/image" Target="../media/image234.emf"/><Relationship Id="rId59" Type="http://schemas.openxmlformats.org/officeDocument/2006/relationships/image" Target="../media/image247.emf"/><Relationship Id="rId67" Type="http://schemas.openxmlformats.org/officeDocument/2006/relationships/image" Target="../media/image255.emf"/><Relationship Id="rId103" Type="http://schemas.openxmlformats.org/officeDocument/2006/relationships/image" Target="../media/image291.emf"/><Relationship Id="rId108" Type="http://schemas.openxmlformats.org/officeDocument/2006/relationships/image" Target="../media/image296.emf"/><Relationship Id="rId116" Type="http://schemas.openxmlformats.org/officeDocument/2006/relationships/image" Target="../media/image304.emf"/><Relationship Id="rId124" Type="http://schemas.openxmlformats.org/officeDocument/2006/relationships/image" Target="../media/image312.emf"/><Relationship Id="rId20" Type="http://schemas.openxmlformats.org/officeDocument/2006/relationships/image" Target="../media/image208.emf"/><Relationship Id="rId41" Type="http://schemas.openxmlformats.org/officeDocument/2006/relationships/image" Target="../media/image229.emf"/><Relationship Id="rId54" Type="http://schemas.openxmlformats.org/officeDocument/2006/relationships/image" Target="../media/image242.emf"/><Relationship Id="rId62" Type="http://schemas.openxmlformats.org/officeDocument/2006/relationships/image" Target="../media/image250.emf"/><Relationship Id="rId70" Type="http://schemas.openxmlformats.org/officeDocument/2006/relationships/image" Target="../media/image258.emf"/><Relationship Id="rId75" Type="http://schemas.openxmlformats.org/officeDocument/2006/relationships/image" Target="../media/image263.emf"/><Relationship Id="rId83" Type="http://schemas.openxmlformats.org/officeDocument/2006/relationships/image" Target="../media/image271.emf"/><Relationship Id="rId88" Type="http://schemas.openxmlformats.org/officeDocument/2006/relationships/image" Target="../media/image276.emf"/><Relationship Id="rId91" Type="http://schemas.openxmlformats.org/officeDocument/2006/relationships/image" Target="../media/image279.emf"/><Relationship Id="rId96" Type="http://schemas.openxmlformats.org/officeDocument/2006/relationships/image" Target="../media/image284.emf"/><Relationship Id="rId111" Type="http://schemas.openxmlformats.org/officeDocument/2006/relationships/image" Target="../media/image299.emf"/><Relationship Id="rId1" Type="http://schemas.openxmlformats.org/officeDocument/2006/relationships/image" Target="../media/image193.emf"/><Relationship Id="rId6" Type="http://schemas.openxmlformats.org/officeDocument/2006/relationships/image" Target="../media/image72.emf"/><Relationship Id="rId15" Type="http://schemas.openxmlformats.org/officeDocument/2006/relationships/image" Target="../media/image203.emf"/><Relationship Id="rId23" Type="http://schemas.openxmlformats.org/officeDocument/2006/relationships/image" Target="../media/image211.emf"/><Relationship Id="rId28" Type="http://schemas.openxmlformats.org/officeDocument/2006/relationships/image" Target="../media/image216.emf"/><Relationship Id="rId36" Type="http://schemas.openxmlformats.org/officeDocument/2006/relationships/image" Target="../media/image224.emf"/><Relationship Id="rId49" Type="http://schemas.openxmlformats.org/officeDocument/2006/relationships/image" Target="../media/image237.emf"/><Relationship Id="rId57" Type="http://schemas.openxmlformats.org/officeDocument/2006/relationships/image" Target="../media/image245.emf"/><Relationship Id="rId106" Type="http://schemas.openxmlformats.org/officeDocument/2006/relationships/image" Target="../media/image294.emf"/><Relationship Id="rId114" Type="http://schemas.openxmlformats.org/officeDocument/2006/relationships/image" Target="../media/image302.emf"/><Relationship Id="rId119" Type="http://schemas.openxmlformats.org/officeDocument/2006/relationships/image" Target="../media/image307.emf"/><Relationship Id="rId10" Type="http://schemas.openxmlformats.org/officeDocument/2006/relationships/image" Target="../media/image198.emf"/><Relationship Id="rId31" Type="http://schemas.openxmlformats.org/officeDocument/2006/relationships/image" Target="../media/image219.emf"/><Relationship Id="rId44" Type="http://schemas.openxmlformats.org/officeDocument/2006/relationships/image" Target="../media/image232.emf"/><Relationship Id="rId52" Type="http://schemas.openxmlformats.org/officeDocument/2006/relationships/image" Target="../media/image240.emf"/><Relationship Id="rId60" Type="http://schemas.openxmlformats.org/officeDocument/2006/relationships/image" Target="../media/image248.emf"/><Relationship Id="rId65" Type="http://schemas.openxmlformats.org/officeDocument/2006/relationships/image" Target="../media/image253.emf"/><Relationship Id="rId73" Type="http://schemas.openxmlformats.org/officeDocument/2006/relationships/image" Target="../media/image261.emf"/><Relationship Id="rId78" Type="http://schemas.openxmlformats.org/officeDocument/2006/relationships/image" Target="../media/image266.emf"/><Relationship Id="rId81" Type="http://schemas.openxmlformats.org/officeDocument/2006/relationships/image" Target="../media/image269.emf"/><Relationship Id="rId86" Type="http://schemas.openxmlformats.org/officeDocument/2006/relationships/image" Target="../media/image274.emf"/><Relationship Id="rId94" Type="http://schemas.openxmlformats.org/officeDocument/2006/relationships/image" Target="../media/image282.emf"/><Relationship Id="rId99" Type="http://schemas.openxmlformats.org/officeDocument/2006/relationships/image" Target="../media/image287.emf"/><Relationship Id="rId101" Type="http://schemas.openxmlformats.org/officeDocument/2006/relationships/image" Target="../media/image289.emf"/><Relationship Id="rId122" Type="http://schemas.openxmlformats.org/officeDocument/2006/relationships/image" Target="../media/image310.emf"/><Relationship Id="rId4" Type="http://schemas.openxmlformats.org/officeDocument/2006/relationships/image" Target="../media/image196.emf"/><Relationship Id="rId9" Type="http://schemas.openxmlformats.org/officeDocument/2006/relationships/image" Target="../media/image197.emf"/><Relationship Id="rId13" Type="http://schemas.openxmlformats.org/officeDocument/2006/relationships/image" Target="../media/image201.emf"/><Relationship Id="rId18" Type="http://schemas.openxmlformats.org/officeDocument/2006/relationships/image" Target="../media/image206.emf"/><Relationship Id="rId39" Type="http://schemas.openxmlformats.org/officeDocument/2006/relationships/image" Target="../media/image227.emf"/><Relationship Id="rId109" Type="http://schemas.openxmlformats.org/officeDocument/2006/relationships/image" Target="../media/image297.emf"/><Relationship Id="rId34" Type="http://schemas.openxmlformats.org/officeDocument/2006/relationships/image" Target="../media/image222.emf"/><Relationship Id="rId50" Type="http://schemas.openxmlformats.org/officeDocument/2006/relationships/image" Target="../media/image238.emf"/><Relationship Id="rId55" Type="http://schemas.openxmlformats.org/officeDocument/2006/relationships/image" Target="../media/image243.emf"/><Relationship Id="rId76" Type="http://schemas.openxmlformats.org/officeDocument/2006/relationships/image" Target="../media/image264.emf"/><Relationship Id="rId97" Type="http://schemas.openxmlformats.org/officeDocument/2006/relationships/image" Target="../media/image285.emf"/><Relationship Id="rId104" Type="http://schemas.openxmlformats.org/officeDocument/2006/relationships/image" Target="../media/image292.emf"/><Relationship Id="rId120" Type="http://schemas.openxmlformats.org/officeDocument/2006/relationships/image" Target="../media/image308.emf"/><Relationship Id="rId125" Type="http://schemas.openxmlformats.org/officeDocument/2006/relationships/image" Target="../media/image313.emf"/><Relationship Id="rId7" Type="http://schemas.openxmlformats.org/officeDocument/2006/relationships/image" Target="../media/image75.emf"/><Relationship Id="rId71" Type="http://schemas.openxmlformats.org/officeDocument/2006/relationships/image" Target="../media/image259.emf"/><Relationship Id="rId92" Type="http://schemas.openxmlformats.org/officeDocument/2006/relationships/image" Target="../media/image280.emf"/><Relationship Id="rId2" Type="http://schemas.openxmlformats.org/officeDocument/2006/relationships/image" Target="../media/image194.emf"/><Relationship Id="rId29" Type="http://schemas.openxmlformats.org/officeDocument/2006/relationships/image" Target="../media/image217.emf"/><Relationship Id="rId24" Type="http://schemas.openxmlformats.org/officeDocument/2006/relationships/image" Target="../media/image212.emf"/><Relationship Id="rId40" Type="http://schemas.openxmlformats.org/officeDocument/2006/relationships/image" Target="../media/image228.emf"/><Relationship Id="rId45" Type="http://schemas.openxmlformats.org/officeDocument/2006/relationships/image" Target="../media/image233.emf"/><Relationship Id="rId66" Type="http://schemas.openxmlformats.org/officeDocument/2006/relationships/image" Target="../media/image254.emf"/><Relationship Id="rId87" Type="http://schemas.openxmlformats.org/officeDocument/2006/relationships/image" Target="../media/image275.emf"/><Relationship Id="rId110" Type="http://schemas.openxmlformats.org/officeDocument/2006/relationships/image" Target="../media/image298.emf"/><Relationship Id="rId115" Type="http://schemas.openxmlformats.org/officeDocument/2006/relationships/image" Target="../media/image303.emf"/></Relationships>
</file>

<file path=xl/drawings/drawing1.xml><?xml version="1.0" encoding="utf-8"?>
<xdr:wsDr xmlns:xdr="http://schemas.openxmlformats.org/drawingml/2006/spreadsheetDrawing" xmlns:a="http://schemas.openxmlformats.org/drawingml/2006/main">
  <xdr:twoCellAnchor>
    <xdr:from>
      <xdr:col>3</xdr:col>
      <xdr:colOff>381000</xdr:colOff>
      <xdr:row>6</xdr:row>
      <xdr:rowOff>57150</xdr:rowOff>
    </xdr:from>
    <xdr:to>
      <xdr:col>6</xdr:col>
      <xdr:colOff>323850</xdr:colOff>
      <xdr:row>9</xdr:row>
      <xdr:rowOff>161925</xdr:rowOff>
    </xdr:to>
    <xdr:sp macro="" textlink="">
      <xdr:nvSpPr>
        <xdr:cNvPr id="2" name="1 Bisel">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2085975" y="1476375"/>
          <a:ext cx="2228850" cy="733425"/>
        </a:xfrm>
        <a:prstGeom prst="bevel">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1400" b="1">
              <a:solidFill>
                <a:sysClr val="windowText" lastClr="000000"/>
              </a:solidFill>
              <a:latin typeface="Arial Narrow" pitchFamily="34" charset="0"/>
            </a:rPr>
            <a:t>Ver instrucciones de uso</a:t>
          </a:r>
        </a:p>
      </xdr:txBody>
    </xdr:sp>
    <xdr:clientData/>
  </xdr:twoCellAnchor>
  <xdr:twoCellAnchor>
    <xdr:from>
      <xdr:col>7</xdr:col>
      <xdr:colOff>323850</xdr:colOff>
      <xdr:row>6</xdr:row>
      <xdr:rowOff>57150</xdr:rowOff>
    </xdr:from>
    <xdr:to>
      <xdr:col>10</xdr:col>
      <xdr:colOff>266700</xdr:colOff>
      <xdr:row>9</xdr:row>
      <xdr:rowOff>161925</xdr:rowOff>
    </xdr:to>
    <xdr:sp macro="" textlink="">
      <xdr:nvSpPr>
        <xdr:cNvPr id="3" name="2 Bisel">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5076825" y="1476375"/>
          <a:ext cx="2228850" cy="733425"/>
        </a:xfrm>
        <a:prstGeom prst="bevel">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1400" b="1">
              <a:solidFill>
                <a:sysClr val="windowText" lastClr="000000"/>
              </a:solidFill>
              <a:latin typeface="Arial Narrow" pitchFamily="34" charset="0"/>
            </a:rPr>
            <a:t>Ingresar datos al modelo</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171450</xdr:colOff>
      <xdr:row>3</xdr:row>
      <xdr:rowOff>104775</xdr:rowOff>
    </xdr:from>
    <xdr:to>
      <xdr:col>8</xdr:col>
      <xdr:colOff>161925</xdr:colOff>
      <xdr:row>32</xdr:row>
      <xdr:rowOff>161925</xdr:rowOff>
    </xdr:to>
    <xdr:sp macro="" textlink="">
      <xdr:nvSpPr>
        <xdr:cNvPr id="2" name="1 Rectángulo">
          <a:extLst>
            <a:ext uri="{FF2B5EF4-FFF2-40B4-BE49-F238E27FC236}">
              <a16:creationId xmlns:a16="http://schemas.microsoft.com/office/drawing/2014/main" id="{00000000-0008-0000-0C00-000002000000}"/>
            </a:ext>
          </a:extLst>
        </xdr:cNvPr>
        <xdr:cNvSpPr/>
      </xdr:nvSpPr>
      <xdr:spPr>
        <a:xfrm>
          <a:off x="4762500" y="1057275"/>
          <a:ext cx="8562975" cy="56578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1</xdr:row>
      <xdr:rowOff>23814</xdr:rowOff>
    </xdr:from>
    <xdr:to>
      <xdr:col>6</xdr:col>
      <xdr:colOff>732234</xdr:colOff>
      <xdr:row>13</xdr:row>
      <xdr:rowOff>172642</xdr:rowOff>
    </xdr:to>
    <xdr:graphicFrame macro="">
      <xdr:nvGraphicFramePr>
        <xdr:cNvPr id="3" name="2 Gráfico">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1</xdr:row>
      <xdr:rowOff>23814</xdr:rowOff>
    </xdr:from>
    <xdr:to>
      <xdr:col>13</xdr:col>
      <xdr:colOff>742950</xdr:colOff>
      <xdr:row>13</xdr:row>
      <xdr:rowOff>161926</xdr:rowOff>
    </xdr:to>
    <xdr:graphicFrame macro="">
      <xdr:nvGraphicFramePr>
        <xdr:cNvPr id="4" name="3 Gráfico">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41672</xdr:colOff>
      <xdr:row>16</xdr:row>
      <xdr:rowOff>29767</xdr:rowOff>
    </xdr:from>
    <xdr:to>
      <xdr:col>6</xdr:col>
      <xdr:colOff>744141</xdr:colOff>
      <xdr:row>28</xdr:row>
      <xdr:rowOff>172641</xdr:rowOff>
    </xdr:to>
    <xdr:graphicFrame macro="">
      <xdr:nvGraphicFramePr>
        <xdr:cNvPr id="5" name="4 Gráfico">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35719</xdr:colOff>
      <xdr:row>16</xdr:row>
      <xdr:rowOff>17860</xdr:rowOff>
    </xdr:from>
    <xdr:to>
      <xdr:col>13</xdr:col>
      <xdr:colOff>744141</xdr:colOff>
      <xdr:row>28</xdr:row>
      <xdr:rowOff>172641</xdr:rowOff>
    </xdr:to>
    <xdr:graphicFrame macro="">
      <xdr:nvGraphicFramePr>
        <xdr:cNvPr id="6" name="5 Gráfico">
          <a:extLst>
            <a:ext uri="{FF2B5EF4-FFF2-40B4-BE49-F238E27FC236}">
              <a16:creationId xmlns:a16="http://schemas.microsoft.com/office/drawing/2014/main" id="{00000000-0008-0000-0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857249</xdr:colOff>
      <xdr:row>0</xdr:row>
      <xdr:rowOff>211454</xdr:rowOff>
    </xdr:from>
    <xdr:to>
      <xdr:col>4</xdr:col>
      <xdr:colOff>1798320</xdr:colOff>
      <xdr:row>13</xdr:row>
      <xdr:rowOff>320040</xdr:rowOff>
    </xdr:to>
    <xdr:graphicFrame macro="">
      <xdr:nvGraphicFramePr>
        <xdr:cNvPr id="9" name="8 Gráfico">
          <a:extLst>
            <a:ext uri="{FF2B5EF4-FFF2-40B4-BE49-F238E27FC236}">
              <a16:creationId xmlns:a16="http://schemas.microsoft.com/office/drawing/2014/main" id="{00000000-0008-0000-1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1440180</xdr:colOff>
      <xdr:row>0</xdr:row>
      <xdr:rowOff>160020</xdr:rowOff>
    </xdr:from>
    <xdr:to>
      <xdr:col>11</xdr:col>
      <xdr:colOff>449581</xdr:colOff>
      <xdr:row>13</xdr:row>
      <xdr:rowOff>236220</xdr:rowOff>
    </xdr:to>
    <xdr:graphicFrame macro="">
      <xdr:nvGraphicFramePr>
        <xdr:cNvPr id="2" name="1 Gráfico">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1379220</xdr:colOff>
      <xdr:row>13</xdr:row>
      <xdr:rowOff>457200</xdr:rowOff>
    </xdr:from>
    <xdr:to>
      <xdr:col>10</xdr:col>
      <xdr:colOff>1379220</xdr:colOff>
      <xdr:row>26</xdr:row>
      <xdr:rowOff>76200</xdr:rowOff>
    </xdr:to>
    <xdr:graphicFrame macro="">
      <xdr:nvGraphicFramePr>
        <xdr:cNvPr id="4" name="Gráfico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xdr:row>
          <xdr:rowOff>133350</xdr:rowOff>
        </xdr:from>
        <xdr:to>
          <xdr:col>4</xdr:col>
          <xdr:colOff>678180</xdr:colOff>
          <xdr:row>10</xdr:row>
          <xdr:rowOff>144780</xdr:rowOff>
        </xdr:to>
        <xdr:pic>
          <xdr:nvPicPr>
            <xdr:cNvPr id="8" name="7 Imagen">
              <a:extLst>
                <a:ext uri="{FF2B5EF4-FFF2-40B4-BE49-F238E27FC236}">
                  <a16:creationId xmlns:a16="http://schemas.microsoft.com/office/drawing/2014/main" id="{00000000-0008-0000-1200-000008000000}"/>
                </a:ext>
              </a:extLst>
            </xdr:cNvPr>
            <xdr:cNvPicPr>
              <a:picLocks noChangeAspect="1" noChangeArrowheads="1"/>
              <a:extLst>
                <a:ext uri="{84589F7E-364E-4C9E-8A38-B11213B215E9}">
                  <a14:cameraTool cellRange="LINEABASE" spid="_x0000_s82224"/>
                </a:ext>
              </a:extLst>
            </xdr:cNvPicPr>
          </xdr:nvPicPr>
          <xdr:blipFill>
            <a:blip xmlns:r="http://schemas.openxmlformats.org/officeDocument/2006/relationships" r:embed="rId1"/>
            <a:srcRect/>
            <a:stretch>
              <a:fillRect/>
            </a:stretch>
          </xdr:blipFill>
          <xdr:spPr bwMode="auto">
            <a:xfrm>
              <a:off x="228600" y="232410"/>
              <a:ext cx="3299460" cy="1657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718184</xdr:colOff>
          <xdr:row>1</xdr:row>
          <xdr:rowOff>144780</xdr:rowOff>
        </xdr:from>
        <xdr:to>
          <xdr:col>12</xdr:col>
          <xdr:colOff>689444</xdr:colOff>
          <xdr:row>10</xdr:row>
          <xdr:rowOff>170056</xdr:rowOff>
        </xdr:to>
        <xdr:pic>
          <xdr:nvPicPr>
            <xdr:cNvPr id="12" name="11 Imagen">
              <a:extLst>
                <a:ext uri="{FF2B5EF4-FFF2-40B4-BE49-F238E27FC236}">
                  <a16:creationId xmlns:a16="http://schemas.microsoft.com/office/drawing/2014/main" id="{00000000-0008-0000-1200-00000C000000}"/>
                </a:ext>
              </a:extLst>
            </xdr:cNvPr>
            <xdr:cNvPicPr>
              <a:picLocks noChangeAspect="1" noChangeArrowheads="1"/>
              <a:extLst>
                <a:ext uri="{84589F7E-364E-4C9E-8A38-B11213B215E9}">
                  <a14:cameraTool cellRange="ESCENARIO1GRAF" spid="_x0000_s82225"/>
                </a:ext>
              </a:extLst>
            </xdr:cNvPicPr>
          </xdr:nvPicPr>
          <xdr:blipFill>
            <a:blip xmlns:r="http://schemas.openxmlformats.org/officeDocument/2006/relationships" r:embed="rId2"/>
            <a:srcRect/>
            <a:stretch>
              <a:fillRect/>
            </a:stretch>
          </xdr:blipFill>
          <xdr:spPr bwMode="auto">
            <a:xfrm>
              <a:off x="6798944" y="243840"/>
              <a:ext cx="3301200" cy="167119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241935</xdr:colOff>
          <xdr:row>16</xdr:row>
          <xdr:rowOff>129540</xdr:rowOff>
        </xdr:from>
        <xdr:to>
          <xdr:col>4</xdr:col>
          <xdr:colOff>693255</xdr:colOff>
          <xdr:row>26</xdr:row>
          <xdr:rowOff>148325</xdr:rowOff>
        </xdr:to>
        <xdr:pic>
          <xdr:nvPicPr>
            <xdr:cNvPr id="15" name="14 Imagen">
              <a:extLst>
                <a:ext uri="{FF2B5EF4-FFF2-40B4-BE49-F238E27FC236}">
                  <a16:creationId xmlns:a16="http://schemas.microsoft.com/office/drawing/2014/main" id="{00000000-0008-0000-1200-00000F000000}"/>
                </a:ext>
              </a:extLst>
            </xdr:cNvPr>
            <xdr:cNvPicPr>
              <a:picLocks noChangeAspect="1" noChangeArrowheads="1"/>
              <a:extLst>
                <a:ext uri="{84589F7E-364E-4C9E-8A38-B11213B215E9}">
                  <a14:cameraTool cellRange="ESCENARIO2GRAF" spid="_x0000_s82226"/>
                </a:ext>
              </a:extLst>
            </xdr:cNvPicPr>
          </xdr:nvPicPr>
          <xdr:blipFill>
            <a:blip xmlns:r="http://schemas.openxmlformats.org/officeDocument/2006/relationships" r:embed="rId3"/>
            <a:srcRect/>
            <a:stretch>
              <a:fillRect/>
            </a:stretch>
          </xdr:blipFill>
          <xdr:spPr bwMode="auto">
            <a:xfrm>
              <a:off x="241935" y="2872740"/>
              <a:ext cx="3301200" cy="18475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746760</xdr:colOff>
          <xdr:row>16</xdr:row>
          <xdr:rowOff>68580</xdr:rowOff>
        </xdr:from>
        <xdr:to>
          <xdr:col>12</xdr:col>
          <xdr:colOff>718020</xdr:colOff>
          <xdr:row>26</xdr:row>
          <xdr:rowOff>117050</xdr:rowOff>
        </xdr:to>
        <xdr:pic>
          <xdr:nvPicPr>
            <xdr:cNvPr id="17" name="16 Imagen">
              <a:extLst>
                <a:ext uri="{FF2B5EF4-FFF2-40B4-BE49-F238E27FC236}">
                  <a16:creationId xmlns:a16="http://schemas.microsoft.com/office/drawing/2014/main" id="{00000000-0008-0000-1200-000011000000}"/>
                </a:ext>
              </a:extLst>
            </xdr:cNvPr>
            <xdr:cNvPicPr>
              <a:picLocks noChangeAspect="1" noChangeArrowheads="1"/>
              <a:extLst>
                <a:ext uri="{84589F7E-364E-4C9E-8A38-B11213B215E9}">
                  <a14:cameraTool cellRange="ESCENARIO3GRAF" spid="_x0000_s82227"/>
                </a:ext>
              </a:extLst>
            </xdr:cNvPicPr>
          </xdr:nvPicPr>
          <xdr:blipFill>
            <a:blip xmlns:r="http://schemas.openxmlformats.org/officeDocument/2006/relationships" r:embed="rId4"/>
            <a:srcRect/>
            <a:stretch>
              <a:fillRect/>
            </a:stretch>
          </xdr:blipFill>
          <xdr:spPr bwMode="auto">
            <a:xfrm>
              <a:off x="6827520" y="2811780"/>
              <a:ext cx="3301200" cy="187727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139065</xdr:colOff>
      <xdr:row>113</xdr:row>
      <xdr:rowOff>53340</xdr:rowOff>
    </xdr:from>
    <xdr:to>
      <xdr:col>25</xdr:col>
      <xdr:colOff>226014</xdr:colOff>
      <xdr:row>126</xdr:row>
      <xdr:rowOff>156289</xdr:rowOff>
    </xdr:to>
    <xdr:pic>
      <xdr:nvPicPr>
        <xdr:cNvPr id="2" name="4 Imagen" descr="http://uploadgerencie.com/medios/habilitar-macros-excel-2003.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825" y="15598140"/>
          <a:ext cx="4925649" cy="3074749"/>
        </a:xfrm>
        <a:prstGeom prst="rect">
          <a:avLst/>
        </a:prstGeom>
        <a:noFill/>
        <a:ln>
          <a:solidFill>
            <a:schemeClr val="tx1"/>
          </a:solidFill>
        </a:ln>
      </xdr:spPr>
    </xdr:pic>
    <xdr:clientData/>
  </xdr:twoCellAnchor>
  <xdr:twoCellAnchor editAs="oneCell">
    <xdr:from>
      <xdr:col>26</xdr:col>
      <xdr:colOff>18956</xdr:colOff>
      <xdr:row>161</xdr:row>
      <xdr:rowOff>19050</xdr:rowOff>
    </xdr:from>
    <xdr:to>
      <xdr:col>55</xdr:col>
      <xdr:colOff>76200</xdr:colOff>
      <xdr:row>171</xdr:row>
      <xdr:rowOff>62865</xdr:rowOff>
    </xdr:to>
    <xdr:pic>
      <xdr:nvPicPr>
        <xdr:cNvPr id="3" name="Picture 7">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56916" y="24936450"/>
          <a:ext cx="7349584" cy="2329815"/>
        </a:xfrm>
        <a:prstGeom prst="rect">
          <a:avLst/>
        </a:prstGeom>
        <a:noFill/>
      </xdr:spPr>
    </xdr:pic>
    <xdr:clientData/>
  </xdr:twoCellAnchor>
  <xdr:twoCellAnchor>
    <xdr:from>
      <xdr:col>5</xdr:col>
      <xdr:colOff>158114</xdr:colOff>
      <xdr:row>88</xdr:row>
      <xdr:rowOff>200423</xdr:rowOff>
    </xdr:from>
    <xdr:to>
      <xdr:col>31</xdr:col>
      <xdr:colOff>30480</xdr:colOff>
      <xdr:row>98</xdr:row>
      <xdr:rowOff>91440</xdr:rowOff>
    </xdr:to>
    <xdr:grpSp>
      <xdr:nvGrpSpPr>
        <xdr:cNvPr id="4" name="14 Grupo">
          <a:extLst>
            <a:ext uri="{FF2B5EF4-FFF2-40B4-BE49-F238E27FC236}">
              <a16:creationId xmlns:a16="http://schemas.microsoft.com/office/drawing/2014/main" id="{00000000-0008-0000-0100-000004000000}"/>
            </a:ext>
          </a:extLst>
        </xdr:cNvPr>
        <xdr:cNvGrpSpPr/>
      </xdr:nvGrpSpPr>
      <xdr:grpSpPr>
        <a:xfrm>
          <a:off x="1428114" y="20869673"/>
          <a:ext cx="6523991" cy="2113517"/>
          <a:chOff x="590550" y="6069728"/>
          <a:chExt cx="8058150" cy="1502647"/>
        </a:xfrm>
      </xdr:grpSpPr>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90550" y="6069728"/>
            <a:ext cx="8058150" cy="1502647"/>
          </a:xfrm>
          <a:prstGeom prst="rect">
            <a:avLst/>
          </a:prstGeom>
          <a:noFill/>
        </xdr:spPr>
      </xdr:pic>
      <xdr:cxnSp macro="">
        <xdr:nvCxnSpPr>
          <xdr:cNvPr id="6" name="13 Conector recto de flecha">
            <a:extLst>
              <a:ext uri="{FF2B5EF4-FFF2-40B4-BE49-F238E27FC236}">
                <a16:creationId xmlns:a16="http://schemas.microsoft.com/office/drawing/2014/main" id="{00000000-0008-0000-0100-000006000000}"/>
              </a:ext>
            </a:extLst>
          </xdr:cNvPr>
          <xdr:cNvCxnSpPr/>
        </xdr:nvCxnSpPr>
        <xdr:spPr>
          <a:xfrm flipH="1">
            <a:off x="5000625" y="7362825"/>
            <a:ext cx="733425" cy="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95250</xdr:colOff>
      <xdr:row>85</xdr:row>
      <xdr:rowOff>190500</xdr:rowOff>
    </xdr:from>
    <xdr:to>
      <xdr:col>48</xdr:col>
      <xdr:colOff>228600</xdr:colOff>
      <xdr:row>103</xdr:row>
      <xdr:rowOff>121919</xdr:rowOff>
    </xdr:to>
    <xdr:grpSp>
      <xdr:nvGrpSpPr>
        <xdr:cNvPr id="7" name="17 Grupo">
          <a:extLst>
            <a:ext uri="{FF2B5EF4-FFF2-40B4-BE49-F238E27FC236}">
              <a16:creationId xmlns:a16="http://schemas.microsoft.com/office/drawing/2014/main" id="{00000000-0008-0000-0100-000007000000}"/>
            </a:ext>
          </a:extLst>
        </xdr:cNvPr>
        <xdr:cNvGrpSpPr/>
      </xdr:nvGrpSpPr>
      <xdr:grpSpPr>
        <a:xfrm>
          <a:off x="8016875" y="20193000"/>
          <a:ext cx="4451350" cy="3931919"/>
          <a:chOff x="2724150" y="8890207"/>
          <a:chExt cx="4143375" cy="3311317"/>
        </a:xfrm>
      </xdr:grpSpPr>
      <xdr:pic>
        <xdr:nvPicPr>
          <xdr:cNvPr id="8" name="Picture 6">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190875" y="8890207"/>
            <a:ext cx="3676650" cy="3311317"/>
          </a:xfrm>
          <a:prstGeom prst="rect">
            <a:avLst/>
          </a:prstGeom>
          <a:noFill/>
        </xdr:spPr>
      </xdr:pic>
      <xdr:cxnSp macro="">
        <xdr:nvCxnSpPr>
          <xdr:cNvPr id="9" name="16 Conector recto de flecha">
            <a:extLst>
              <a:ext uri="{FF2B5EF4-FFF2-40B4-BE49-F238E27FC236}">
                <a16:creationId xmlns:a16="http://schemas.microsoft.com/office/drawing/2014/main" id="{00000000-0008-0000-0100-000009000000}"/>
              </a:ext>
            </a:extLst>
          </xdr:cNvPr>
          <xdr:cNvCxnSpPr/>
        </xdr:nvCxnSpPr>
        <xdr:spPr>
          <a:xfrm>
            <a:off x="2724150" y="10972800"/>
            <a:ext cx="676275" cy="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9524</xdr:colOff>
      <xdr:row>135</xdr:row>
      <xdr:rowOff>159883</xdr:rowOff>
    </xdr:from>
    <xdr:to>
      <xdr:col>29</xdr:col>
      <xdr:colOff>106679</xdr:colOff>
      <xdr:row>151</xdr:row>
      <xdr:rowOff>91441</xdr:rowOff>
    </xdr:to>
    <xdr:grpSp>
      <xdr:nvGrpSpPr>
        <xdr:cNvPr id="10" name="33 Grupo">
          <a:extLst>
            <a:ext uri="{FF2B5EF4-FFF2-40B4-BE49-F238E27FC236}">
              <a16:creationId xmlns:a16="http://schemas.microsoft.com/office/drawing/2014/main" id="{00000000-0008-0000-0100-00000A000000}"/>
            </a:ext>
          </a:extLst>
        </xdr:cNvPr>
        <xdr:cNvGrpSpPr/>
      </xdr:nvGrpSpPr>
      <xdr:grpSpPr>
        <a:xfrm>
          <a:off x="1787524" y="31274883"/>
          <a:ext cx="5732780" cy="3487558"/>
          <a:chOff x="161925" y="22261693"/>
          <a:chExt cx="3938740" cy="3284358"/>
        </a:xfrm>
      </xdr:grpSpPr>
      <xdr:grpSp>
        <xdr:nvGrpSpPr>
          <xdr:cNvPr id="11" name="24 Grupo">
            <a:extLst>
              <a:ext uri="{FF2B5EF4-FFF2-40B4-BE49-F238E27FC236}">
                <a16:creationId xmlns:a16="http://schemas.microsoft.com/office/drawing/2014/main" id="{00000000-0008-0000-0100-00000B000000}"/>
              </a:ext>
            </a:extLst>
          </xdr:cNvPr>
          <xdr:cNvGrpSpPr/>
        </xdr:nvGrpSpPr>
        <xdr:grpSpPr>
          <a:xfrm>
            <a:off x="161925" y="22261693"/>
            <a:ext cx="3938740" cy="3284358"/>
            <a:chOff x="161925" y="22261693"/>
            <a:chExt cx="3938740" cy="3284358"/>
          </a:xfrm>
        </xdr:grpSpPr>
        <xdr:pic>
          <xdr:nvPicPr>
            <xdr:cNvPr id="13" name="Picture 3">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38150" y="22261693"/>
              <a:ext cx="3662515" cy="3284358"/>
            </a:xfrm>
            <a:prstGeom prst="rect">
              <a:avLst/>
            </a:prstGeom>
            <a:noFill/>
          </xdr:spPr>
        </xdr:pic>
        <xdr:cxnSp macro="">
          <xdr:nvCxnSpPr>
            <xdr:cNvPr id="14" name="15 Conector recto de flecha">
              <a:extLst>
                <a:ext uri="{FF2B5EF4-FFF2-40B4-BE49-F238E27FC236}">
                  <a16:creationId xmlns:a16="http://schemas.microsoft.com/office/drawing/2014/main" id="{00000000-0008-0000-0100-00000E000000}"/>
                </a:ext>
              </a:extLst>
            </xdr:cNvPr>
            <xdr:cNvCxnSpPr/>
          </xdr:nvCxnSpPr>
          <xdr:spPr>
            <a:xfrm>
              <a:off x="161925" y="22383750"/>
              <a:ext cx="304800" cy="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xnSp macro="">
        <xdr:nvCxnSpPr>
          <xdr:cNvPr id="12" name="28 Conector recto de flecha">
            <a:extLst>
              <a:ext uri="{FF2B5EF4-FFF2-40B4-BE49-F238E27FC236}">
                <a16:creationId xmlns:a16="http://schemas.microsoft.com/office/drawing/2014/main" id="{00000000-0008-0000-0100-00000C000000}"/>
              </a:ext>
            </a:extLst>
          </xdr:cNvPr>
          <xdr:cNvCxnSpPr/>
        </xdr:nvCxnSpPr>
        <xdr:spPr>
          <a:xfrm>
            <a:off x="2152650" y="25441275"/>
            <a:ext cx="276225" cy="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129540</xdr:colOff>
      <xdr:row>135</xdr:row>
      <xdr:rowOff>175259</xdr:rowOff>
    </xdr:from>
    <xdr:to>
      <xdr:col>52</xdr:col>
      <xdr:colOff>22860</xdr:colOff>
      <xdr:row>150</xdr:row>
      <xdr:rowOff>20955</xdr:rowOff>
    </xdr:to>
    <xdr:grpSp>
      <xdr:nvGrpSpPr>
        <xdr:cNvPr id="15" name="32 Grupo">
          <a:extLst>
            <a:ext uri="{FF2B5EF4-FFF2-40B4-BE49-F238E27FC236}">
              <a16:creationId xmlns:a16="http://schemas.microsoft.com/office/drawing/2014/main" id="{00000000-0008-0000-0100-00000F000000}"/>
            </a:ext>
          </a:extLst>
        </xdr:cNvPr>
        <xdr:cNvGrpSpPr/>
      </xdr:nvGrpSpPr>
      <xdr:grpSpPr>
        <a:xfrm>
          <a:off x="8051165" y="31290259"/>
          <a:ext cx="5227320" cy="3179446"/>
          <a:chOff x="4181474" y="22269449"/>
          <a:chExt cx="4486275" cy="2981326"/>
        </a:xfrm>
      </xdr:grpSpPr>
      <xdr:pic>
        <xdr:nvPicPr>
          <xdr:cNvPr id="16" name="8 Imagen">
            <a:extLst>
              <a:ext uri="{FF2B5EF4-FFF2-40B4-BE49-F238E27FC236}">
                <a16:creationId xmlns:a16="http://schemas.microsoft.com/office/drawing/2014/main" id="{00000000-0008-0000-0100-000010000000}"/>
              </a:ext>
            </a:extLst>
          </xdr:cNvPr>
          <xdr:cNvPicPr/>
        </xdr:nvPicPr>
        <xdr:blipFill rotWithShape="1">
          <a:blip xmlns:r="http://schemas.openxmlformats.org/officeDocument/2006/relationships" r:embed="rId6" cstate="print"/>
          <a:srcRect r="12512" b="7132"/>
          <a:stretch/>
        </xdr:blipFill>
        <xdr:spPr bwMode="auto">
          <a:xfrm>
            <a:off x="4181474" y="22269449"/>
            <a:ext cx="4486275" cy="2981326"/>
          </a:xfrm>
          <a:prstGeom prst="rect">
            <a:avLst/>
          </a:prstGeom>
          <a:ln>
            <a:solidFill>
              <a:schemeClr val="tx1"/>
            </a:solidFill>
          </a:ln>
          <a:extLst>
            <a:ext uri="{53640926-AAD7-44D8-BBD7-CCE9431645EC}">
              <a14:shadowObscured xmlns:a14="http://schemas.microsoft.com/office/drawing/2010/main"/>
            </a:ext>
          </a:extLst>
        </xdr:spPr>
      </xdr:pic>
      <xdr:cxnSp macro="">
        <xdr:nvCxnSpPr>
          <xdr:cNvPr id="17" name="31 Conector recto de flecha">
            <a:extLst>
              <a:ext uri="{FF2B5EF4-FFF2-40B4-BE49-F238E27FC236}">
                <a16:creationId xmlns:a16="http://schemas.microsoft.com/office/drawing/2014/main" id="{00000000-0008-0000-0100-000011000000}"/>
              </a:ext>
            </a:extLst>
          </xdr:cNvPr>
          <xdr:cNvCxnSpPr/>
        </xdr:nvCxnSpPr>
        <xdr:spPr>
          <a:xfrm>
            <a:off x="4829175" y="24545925"/>
            <a:ext cx="276225" cy="0"/>
          </a:xfrm>
          <a:prstGeom prst="straightConnector1">
            <a:avLst/>
          </a:prstGeom>
          <a:ln w="28575">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127634</xdr:colOff>
      <xdr:row>159</xdr:row>
      <xdr:rowOff>139065</xdr:rowOff>
    </xdr:from>
    <xdr:to>
      <xdr:col>25</xdr:col>
      <xdr:colOff>22859</xdr:colOff>
      <xdr:row>175</xdr:row>
      <xdr:rowOff>22860</xdr:rowOff>
    </xdr:to>
    <xdr:grpSp>
      <xdr:nvGrpSpPr>
        <xdr:cNvPr id="18" name="36 Grupo">
          <a:extLst>
            <a:ext uri="{FF2B5EF4-FFF2-40B4-BE49-F238E27FC236}">
              <a16:creationId xmlns:a16="http://schemas.microsoft.com/office/drawing/2014/main" id="{00000000-0008-0000-0100-000012000000}"/>
            </a:ext>
          </a:extLst>
        </xdr:cNvPr>
        <xdr:cNvGrpSpPr/>
      </xdr:nvGrpSpPr>
      <xdr:grpSpPr>
        <a:xfrm>
          <a:off x="1905634" y="36588065"/>
          <a:ext cx="4514850" cy="3439795"/>
          <a:chOff x="2009775" y="26203275"/>
          <a:chExt cx="5181600" cy="2835825"/>
        </a:xfrm>
      </xdr:grpSpPr>
      <xdr:pic>
        <xdr:nvPicPr>
          <xdr:cNvPr id="19" name="9 Imagen">
            <a:extLst>
              <a:ext uri="{FF2B5EF4-FFF2-40B4-BE49-F238E27FC236}">
                <a16:creationId xmlns:a16="http://schemas.microsoft.com/office/drawing/2014/main" id="{00000000-0008-0000-0100-000013000000}"/>
              </a:ext>
            </a:extLst>
          </xdr:cNvPr>
          <xdr:cNvPicPr/>
        </xdr:nvPicPr>
        <xdr:blipFill rotWithShape="1">
          <a:blip xmlns:r="http://schemas.openxmlformats.org/officeDocument/2006/relationships" r:embed="rId7" cstate="print"/>
          <a:srcRect l="6900" r="6240" b="6570"/>
          <a:stretch/>
        </xdr:blipFill>
        <xdr:spPr bwMode="auto">
          <a:xfrm>
            <a:off x="2314575" y="26203275"/>
            <a:ext cx="4689475" cy="2835825"/>
          </a:xfrm>
          <a:prstGeom prst="rect">
            <a:avLst/>
          </a:prstGeom>
          <a:ln>
            <a:solidFill>
              <a:schemeClr val="tx1"/>
            </a:solidFill>
          </a:ln>
          <a:extLst>
            <a:ext uri="{53640926-AAD7-44D8-BBD7-CCE9431645EC}">
              <a14:shadowObscured xmlns:a14="http://schemas.microsoft.com/office/drawing/2010/main"/>
            </a:ext>
          </a:extLst>
        </xdr:spPr>
      </xdr:pic>
      <xdr:cxnSp macro="">
        <xdr:nvCxnSpPr>
          <xdr:cNvPr id="20" name="34 Conector recto de flecha">
            <a:extLst>
              <a:ext uri="{FF2B5EF4-FFF2-40B4-BE49-F238E27FC236}">
                <a16:creationId xmlns:a16="http://schemas.microsoft.com/office/drawing/2014/main" id="{00000000-0008-0000-0100-000014000000}"/>
              </a:ext>
            </a:extLst>
          </xdr:cNvPr>
          <xdr:cNvCxnSpPr/>
        </xdr:nvCxnSpPr>
        <xdr:spPr>
          <a:xfrm>
            <a:off x="2009775" y="27651075"/>
            <a:ext cx="276225" cy="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 name="35 Conector recto de flecha">
            <a:extLst>
              <a:ext uri="{FF2B5EF4-FFF2-40B4-BE49-F238E27FC236}">
                <a16:creationId xmlns:a16="http://schemas.microsoft.com/office/drawing/2014/main" id="{00000000-0008-0000-0100-000015000000}"/>
              </a:ext>
            </a:extLst>
          </xdr:cNvPr>
          <xdr:cNvCxnSpPr/>
        </xdr:nvCxnSpPr>
        <xdr:spPr>
          <a:xfrm>
            <a:off x="6915150" y="27936825"/>
            <a:ext cx="276225" cy="0"/>
          </a:xfrm>
          <a:prstGeom prst="straightConnector1">
            <a:avLst/>
          </a:prstGeom>
          <a:ln w="28575">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152400</xdr:colOff>
      <xdr:row>8</xdr:row>
      <xdr:rowOff>30480</xdr:rowOff>
    </xdr:from>
    <xdr:to>
      <xdr:col>6</xdr:col>
      <xdr:colOff>236220</xdr:colOff>
      <xdr:row>12</xdr:row>
      <xdr:rowOff>129540</xdr:rowOff>
    </xdr:to>
    <xdr:sp macro="" textlink="">
      <xdr:nvSpPr>
        <xdr:cNvPr id="25" name="Elipse 24">
          <a:extLst>
            <a:ext uri="{FF2B5EF4-FFF2-40B4-BE49-F238E27FC236}">
              <a16:creationId xmlns:a16="http://schemas.microsoft.com/office/drawing/2014/main" id="{00000000-0008-0000-0100-000019000000}"/>
            </a:ext>
          </a:extLst>
        </xdr:cNvPr>
        <xdr:cNvSpPr/>
      </xdr:nvSpPr>
      <xdr:spPr>
        <a:xfrm>
          <a:off x="403860" y="2659380"/>
          <a:ext cx="1341120" cy="101346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t>Objetivo</a:t>
          </a:r>
        </a:p>
      </xdr:txBody>
    </xdr:sp>
    <xdr:clientData/>
  </xdr:twoCellAnchor>
  <xdr:twoCellAnchor>
    <xdr:from>
      <xdr:col>8</xdr:col>
      <xdr:colOff>0</xdr:colOff>
      <xdr:row>9</xdr:row>
      <xdr:rowOff>76200</xdr:rowOff>
    </xdr:from>
    <xdr:to>
      <xdr:col>50</xdr:col>
      <xdr:colOff>182880</xdr:colOff>
      <xdr:row>12</xdr:row>
      <xdr:rowOff>7620</xdr:rowOff>
    </xdr:to>
    <xdr:sp macro="" textlink="">
      <xdr:nvSpPr>
        <xdr:cNvPr id="26" name="Rectángulo 25">
          <a:extLst>
            <a:ext uri="{FF2B5EF4-FFF2-40B4-BE49-F238E27FC236}">
              <a16:creationId xmlns:a16="http://schemas.microsoft.com/office/drawing/2014/main" id="{00000000-0008-0000-0100-00001A000000}"/>
            </a:ext>
          </a:extLst>
        </xdr:cNvPr>
        <xdr:cNvSpPr/>
      </xdr:nvSpPr>
      <xdr:spPr>
        <a:xfrm>
          <a:off x="2011680" y="533400"/>
          <a:ext cx="10744200" cy="6172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Calcular los costos</a:t>
          </a:r>
          <a:r>
            <a:rPr lang="es-ES" sz="1400" b="1" baseline="0"/>
            <a:t> de recolección, transporte, separación y clasificación de residuos reciclables con inclusión de recicladores.</a:t>
          </a:r>
          <a:endParaRPr lang="es-ES" sz="1400" b="1"/>
        </a:p>
      </xdr:txBody>
    </xdr:sp>
    <xdr:clientData/>
  </xdr:twoCellAnchor>
  <xdr:twoCellAnchor>
    <xdr:from>
      <xdr:col>1</xdr:col>
      <xdr:colOff>220980</xdr:colOff>
      <xdr:row>16</xdr:row>
      <xdr:rowOff>213360</xdr:rowOff>
    </xdr:from>
    <xdr:to>
      <xdr:col>3</xdr:col>
      <xdr:colOff>228600</xdr:colOff>
      <xdr:row>32</xdr:row>
      <xdr:rowOff>0</xdr:rowOff>
    </xdr:to>
    <xdr:sp macro="" textlink="">
      <xdr:nvSpPr>
        <xdr:cNvPr id="27" name="Rectángulo 26">
          <a:extLst>
            <a:ext uri="{FF2B5EF4-FFF2-40B4-BE49-F238E27FC236}">
              <a16:creationId xmlns:a16="http://schemas.microsoft.com/office/drawing/2014/main" id="{00000000-0008-0000-0100-00001B000000}"/>
            </a:ext>
          </a:extLst>
        </xdr:cNvPr>
        <xdr:cNvSpPr/>
      </xdr:nvSpPr>
      <xdr:spPr>
        <a:xfrm>
          <a:off x="472440" y="4678680"/>
          <a:ext cx="510540" cy="34442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ES" sz="1600" b="1"/>
            <a:t>Estructura del modelo</a:t>
          </a:r>
        </a:p>
      </xdr:txBody>
    </xdr:sp>
    <xdr:clientData/>
  </xdr:twoCellAnchor>
  <xdr:twoCellAnchor>
    <xdr:from>
      <xdr:col>7</xdr:col>
      <xdr:colOff>45720</xdr:colOff>
      <xdr:row>17</xdr:row>
      <xdr:rowOff>0</xdr:rowOff>
    </xdr:from>
    <xdr:to>
      <xdr:col>13</xdr:col>
      <xdr:colOff>228600</xdr:colOff>
      <xdr:row>20</xdr:row>
      <xdr:rowOff>220980</xdr:rowOff>
    </xdr:to>
    <xdr:sp macro="" textlink="">
      <xdr:nvSpPr>
        <xdr:cNvPr id="28" name="Rectángulo 27">
          <a:extLst>
            <a:ext uri="{FF2B5EF4-FFF2-40B4-BE49-F238E27FC236}">
              <a16:creationId xmlns:a16="http://schemas.microsoft.com/office/drawing/2014/main" id="{00000000-0008-0000-0100-00001C000000}"/>
            </a:ext>
          </a:extLst>
        </xdr:cNvPr>
        <xdr:cNvSpPr/>
      </xdr:nvSpPr>
      <xdr:spPr>
        <a:xfrm>
          <a:off x="1805940" y="1600200"/>
          <a:ext cx="1691640" cy="906780"/>
        </a:xfrm>
        <a:prstGeom prst="rect">
          <a:avLst/>
        </a:prstGeom>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ES" sz="1100" b="1"/>
            <a:t>Datos generales </a:t>
          </a:r>
        </a:p>
        <a:p>
          <a:pPr algn="ctr"/>
          <a:r>
            <a:rPr lang="es-ES" sz="1100" b="1"/>
            <a:t>(D. Generales)</a:t>
          </a:r>
        </a:p>
      </xdr:txBody>
    </xdr:sp>
    <xdr:clientData/>
  </xdr:twoCellAnchor>
  <xdr:twoCellAnchor>
    <xdr:from>
      <xdr:col>14</xdr:col>
      <xdr:colOff>83820</xdr:colOff>
      <xdr:row>17</xdr:row>
      <xdr:rowOff>7620</xdr:rowOff>
    </xdr:from>
    <xdr:to>
      <xdr:col>21</xdr:col>
      <xdr:colOff>99060</xdr:colOff>
      <xdr:row>21</xdr:row>
      <xdr:rowOff>7620</xdr:rowOff>
    </xdr:to>
    <xdr:sp macro="" textlink="">
      <xdr:nvSpPr>
        <xdr:cNvPr id="29" name="Rectángulo 28">
          <a:extLst>
            <a:ext uri="{FF2B5EF4-FFF2-40B4-BE49-F238E27FC236}">
              <a16:creationId xmlns:a16="http://schemas.microsoft.com/office/drawing/2014/main" id="{00000000-0008-0000-0100-00001D000000}"/>
            </a:ext>
          </a:extLst>
        </xdr:cNvPr>
        <xdr:cNvSpPr/>
      </xdr:nvSpPr>
      <xdr:spPr>
        <a:xfrm>
          <a:off x="3604260" y="1607820"/>
          <a:ext cx="1775460" cy="914400"/>
        </a:xfrm>
        <a:prstGeom prst="rect">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ES" sz="1100" b="1"/>
            <a:t>Datos para organizaciones</a:t>
          </a:r>
          <a:r>
            <a:rPr lang="es-ES" sz="1100" b="1" baseline="0"/>
            <a:t> de recicladores</a:t>
          </a:r>
        </a:p>
        <a:p>
          <a:pPr algn="ctr"/>
          <a:r>
            <a:rPr lang="es-ES" sz="1100" b="1"/>
            <a:t>(D. Recicladores)</a:t>
          </a:r>
        </a:p>
      </xdr:txBody>
    </xdr:sp>
    <xdr:clientData/>
  </xdr:twoCellAnchor>
  <xdr:twoCellAnchor>
    <xdr:from>
      <xdr:col>21</xdr:col>
      <xdr:colOff>198120</xdr:colOff>
      <xdr:row>17</xdr:row>
      <xdr:rowOff>15240</xdr:rowOff>
    </xdr:from>
    <xdr:to>
      <xdr:col>28</xdr:col>
      <xdr:colOff>167640</xdr:colOff>
      <xdr:row>21</xdr:row>
      <xdr:rowOff>7620</xdr:rowOff>
    </xdr:to>
    <xdr:sp macro="" textlink="">
      <xdr:nvSpPr>
        <xdr:cNvPr id="30" name="Rectángulo 29">
          <a:extLst>
            <a:ext uri="{FF2B5EF4-FFF2-40B4-BE49-F238E27FC236}">
              <a16:creationId xmlns:a16="http://schemas.microsoft.com/office/drawing/2014/main" id="{00000000-0008-0000-0100-00001E000000}"/>
            </a:ext>
          </a:extLst>
        </xdr:cNvPr>
        <xdr:cNvSpPr/>
      </xdr:nvSpPr>
      <xdr:spPr>
        <a:xfrm>
          <a:off x="5478780" y="1615440"/>
          <a:ext cx="1729740" cy="906780"/>
        </a:xfrm>
        <a:prstGeom prst="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lang="es-ES" sz="1100" b="1"/>
            <a:t>Datos para prestadores (D. Prestador)</a:t>
          </a:r>
        </a:p>
      </xdr:txBody>
    </xdr:sp>
    <xdr:clientData/>
  </xdr:twoCellAnchor>
  <xdr:twoCellAnchor>
    <xdr:from>
      <xdr:col>36</xdr:col>
      <xdr:colOff>60960</xdr:colOff>
      <xdr:row>17</xdr:row>
      <xdr:rowOff>0</xdr:rowOff>
    </xdr:from>
    <xdr:to>
      <xdr:col>43</xdr:col>
      <xdr:colOff>68580</xdr:colOff>
      <xdr:row>21</xdr:row>
      <xdr:rowOff>0</xdr:rowOff>
    </xdr:to>
    <xdr:sp macro="" textlink="">
      <xdr:nvSpPr>
        <xdr:cNvPr id="31" name="Rectángulo 30">
          <a:extLst>
            <a:ext uri="{FF2B5EF4-FFF2-40B4-BE49-F238E27FC236}">
              <a16:creationId xmlns:a16="http://schemas.microsoft.com/office/drawing/2014/main" id="{00000000-0008-0000-0100-00001F000000}"/>
            </a:ext>
          </a:extLst>
        </xdr:cNvPr>
        <xdr:cNvSpPr/>
      </xdr:nvSpPr>
      <xdr:spPr>
        <a:xfrm>
          <a:off x="9113520" y="1600200"/>
          <a:ext cx="1767840" cy="914400"/>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ES" sz="1100" b="1"/>
            <a:t>Resultados</a:t>
          </a:r>
        </a:p>
      </xdr:txBody>
    </xdr:sp>
    <xdr:clientData/>
  </xdr:twoCellAnchor>
  <xdr:twoCellAnchor>
    <xdr:from>
      <xdr:col>29</xdr:col>
      <xdr:colOff>22860</xdr:colOff>
      <xdr:row>17</xdr:row>
      <xdr:rowOff>7620</xdr:rowOff>
    </xdr:from>
    <xdr:to>
      <xdr:col>35</xdr:col>
      <xdr:colOff>243840</xdr:colOff>
      <xdr:row>20</xdr:row>
      <xdr:rowOff>213360</xdr:rowOff>
    </xdr:to>
    <xdr:sp macro="" textlink="">
      <xdr:nvSpPr>
        <xdr:cNvPr id="32" name="Rectángulo 31">
          <a:extLst>
            <a:ext uri="{FF2B5EF4-FFF2-40B4-BE49-F238E27FC236}">
              <a16:creationId xmlns:a16="http://schemas.microsoft.com/office/drawing/2014/main" id="{00000000-0008-0000-0100-000020000000}"/>
            </a:ext>
          </a:extLst>
        </xdr:cNvPr>
        <xdr:cNvSpPr/>
      </xdr:nvSpPr>
      <xdr:spPr>
        <a:xfrm>
          <a:off x="7315200" y="1607820"/>
          <a:ext cx="1729740" cy="891540"/>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es-ES" sz="1100" b="1"/>
            <a:t>Resultados por escenario (Res. Escenario)</a:t>
          </a:r>
        </a:p>
      </xdr:txBody>
    </xdr:sp>
    <xdr:clientData/>
  </xdr:twoCellAnchor>
  <xdr:twoCellAnchor>
    <xdr:from>
      <xdr:col>43</xdr:col>
      <xdr:colOff>167640</xdr:colOff>
      <xdr:row>17</xdr:row>
      <xdr:rowOff>0</xdr:rowOff>
    </xdr:from>
    <xdr:to>
      <xdr:col>50</xdr:col>
      <xdr:colOff>137160</xdr:colOff>
      <xdr:row>20</xdr:row>
      <xdr:rowOff>213360</xdr:rowOff>
    </xdr:to>
    <xdr:sp macro="" textlink="">
      <xdr:nvSpPr>
        <xdr:cNvPr id="33" name="Rectángulo 32">
          <a:extLst>
            <a:ext uri="{FF2B5EF4-FFF2-40B4-BE49-F238E27FC236}">
              <a16:creationId xmlns:a16="http://schemas.microsoft.com/office/drawing/2014/main" id="{00000000-0008-0000-0100-000021000000}"/>
            </a:ext>
          </a:extLst>
        </xdr:cNvPr>
        <xdr:cNvSpPr/>
      </xdr:nvSpPr>
      <xdr:spPr>
        <a:xfrm>
          <a:off x="10980420" y="1600200"/>
          <a:ext cx="1729740" cy="899160"/>
        </a:xfrm>
        <a:prstGeom prst="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ES" sz="1100" b="1"/>
            <a:t>Comparación con datos de referencia </a:t>
          </a:r>
        </a:p>
        <a:p>
          <a:pPr algn="ctr"/>
          <a:r>
            <a:rPr lang="es-ES" sz="1100" b="1"/>
            <a:t>(Comparación Ref)</a:t>
          </a:r>
        </a:p>
      </xdr:txBody>
    </xdr:sp>
    <xdr:clientData/>
  </xdr:twoCellAnchor>
  <xdr:twoCellAnchor>
    <xdr:from>
      <xdr:col>7</xdr:col>
      <xdr:colOff>53340</xdr:colOff>
      <xdr:row>21</xdr:row>
      <xdr:rowOff>76200</xdr:rowOff>
    </xdr:from>
    <xdr:to>
      <xdr:col>13</xdr:col>
      <xdr:colOff>213360</xdr:colOff>
      <xdr:row>25</xdr:row>
      <xdr:rowOff>99060</xdr:rowOff>
    </xdr:to>
    <xdr:sp macro="" textlink="">
      <xdr:nvSpPr>
        <xdr:cNvPr id="34" name="Rectángulo 33">
          <a:extLst>
            <a:ext uri="{FF2B5EF4-FFF2-40B4-BE49-F238E27FC236}">
              <a16:creationId xmlns:a16="http://schemas.microsoft.com/office/drawing/2014/main" id="{00000000-0008-0000-0100-000022000000}"/>
            </a:ext>
          </a:extLst>
        </xdr:cNvPr>
        <xdr:cNvSpPr/>
      </xdr:nvSpPr>
      <xdr:spPr>
        <a:xfrm>
          <a:off x="1813560" y="2590800"/>
          <a:ext cx="1668780" cy="937260"/>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ES" sz="1100" b="1" baseline="0"/>
            <a:t>Diligenciar la información del sistema de residuos sólidos en general </a:t>
          </a:r>
          <a:endParaRPr lang="es-ES" sz="1100" b="1"/>
        </a:p>
      </xdr:txBody>
    </xdr:sp>
    <xdr:clientData/>
  </xdr:twoCellAnchor>
  <xdr:twoCellAnchor>
    <xdr:from>
      <xdr:col>7</xdr:col>
      <xdr:colOff>38100</xdr:colOff>
      <xdr:row>25</xdr:row>
      <xdr:rowOff>175260</xdr:rowOff>
    </xdr:from>
    <xdr:to>
      <xdr:col>13</xdr:col>
      <xdr:colOff>198120</xdr:colOff>
      <xdr:row>31</xdr:row>
      <xdr:rowOff>213360</xdr:rowOff>
    </xdr:to>
    <xdr:sp macro="" textlink="">
      <xdr:nvSpPr>
        <xdr:cNvPr id="35" name="Rectángulo 34">
          <a:extLst>
            <a:ext uri="{FF2B5EF4-FFF2-40B4-BE49-F238E27FC236}">
              <a16:creationId xmlns:a16="http://schemas.microsoft.com/office/drawing/2014/main" id="{00000000-0008-0000-0100-000023000000}"/>
            </a:ext>
          </a:extLst>
        </xdr:cNvPr>
        <xdr:cNvSpPr/>
      </xdr:nvSpPr>
      <xdr:spPr>
        <a:xfrm>
          <a:off x="1798320" y="3604260"/>
          <a:ext cx="1668780" cy="1409700"/>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ES" sz="1100" b="1"/>
            <a:t>- Ubicación</a:t>
          </a:r>
        </a:p>
        <a:p>
          <a:pPr algn="ctr"/>
          <a:r>
            <a:rPr lang="es-ES" sz="1100" b="1"/>
            <a:t>-</a:t>
          </a:r>
          <a:r>
            <a:rPr lang="es-ES" sz="1100" b="1" baseline="0"/>
            <a:t> Escenarios escogidos para el cálculo</a:t>
          </a:r>
          <a:endParaRPr lang="es-ES" sz="1100" b="1"/>
        </a:p>
        <a:p>
          <a:pPr algn="ctr"/>
          <a:r>
            <a:rPr lang="es-ES" sz="1100" b="1"/>
            <a:t>- Cantidad de residuos reciclables</a:t>
          </a:r>
        </a:p>
        <a:p>
          <a:pPr algn="ctr"/>
          <a:r>
            <a:rPr lang="es-ES" sz="1100" b="1"/>
            <a:t>- Composición</a:t>
          </a:r>
          <a:r>
            <a:rPr lang="es-ES" sz="1100" b="1" baseline="0"/>
            <a:t> de residios reciclables</a:t>
          </a:r>
          <a:endParaRPr lang="es-ES" sz="1100" b="1"/>
        </a:p>
      </xdr:txBody>
    </xdr:sp>
    <xdr:clientData/>
  </xdr:twoCellAnchor>
  <xdr:twoCellAnchor>
    <xdr:from>
      <xdr:col>4</xdr:col>
      <xdr:colOff>99060</xdr:colOff>
      <xdr:row>17</xdr:row>
      <xdr:rowOff>15240</xdr:rowOff>
    </xdr:from>
    <xdr:to>
      <xdr:col>6</xdr:col>
      <xdr:colOff>205740</xdr:colOff>
      <xdr:row>20</xdr:row>
      <xdr:rowOff>213360</xdr:rowOff>
    </xdr:to>
    <xdr:sp macro="" textlink="">
      <xdr:nvSpPr>
        <xdr:cNvPr id="36" name="Rectángulo 35">
          <a:extLst>
            <a:ext uri="{FF2B5EF4-FFF2-40B4-BE49-F238E27FC236}">
              <a16:creationId xmlns:a16="http://schemas.microsoft.com/office/drawing/2014/main" id="{00000000-0008-0000-0100-000024000000}"/>
            </a:ext>
          </a:extLst>
        </xdr:cNvPr>
        <xdr:cNvSpPr/>
      </xdr:nvSpPr>
      <xdr:spPr>
        <a:xfrm>
          <a:off x="1104900" y="1615440"/>
          <a:ext cx="609600" cy="8839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ES" sz="1200" b="1"/>
            <a:t>Nombre de la hoja</a:t>
          </a:r>
        </a:p>
      </xdr:txBody>
    </xdr:sp>
    <xdr:clientData/>
  </xdr:twoCellAnchor>
  <xdr:twoCellAnchor>
    <xdr:from>
      <xdr:col>4</xdr:col>
      <xdr:colOff>99060</xdr:colOff>
      <xdr:row>21</xdr:row>
      <xdr:rowOff>76200</xdr:rowOff>
    </xdr:from>
    <xdr:to>
      <xdr:col>6</xdr:col>
      <xdr:colOff>190500</xdr:colOff>
      <xdr:row>25</xdr:row>
      <xdr:rowOff>83820</xdr:rowOff>
    </xdr:to>
    <xdr:sp macro="" textlink="">
      <xdr:nvSpPr>
        <xdr:cNvPr id="37" name="Rectángulo 36">
          <a:extLst>
            <a:ext uri="{FF2B5EF4-FFF2-40B4-BE49-F238E27FC236}">
              <a16:creationId xmlns:a16="http://schemas.microsoft.com/office/drawing/2014/main" id="{00000000-0008-0000-0100-000025000000}"/>
            </a:ext>
          </a:extLst>
        </xdr:cNvPr>
        <xdr:cNvSpPr/>
      </xdr:nvSpPr>
      <xdr:spPr>
        <a:xfrm>
          <a:off x="1104900" y="2590800"/>
          <a:ext cx="594360" cy="9220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ES" sz="1400" b="1"/>
            <a:t>Finalidad</a:t>
          </a:r>
        </a:p>
      </xdr:txBody>
    </xdr:sp>
    <xdr:clientData/>
  </xdr:twoCellAnchor>
  <xdr:twoCellAnchor>
    <xdr:from>
      <xdr:col>4</xdr:col>
      <xdr:colOff>99060</xdr:colOff>
      <xdr:row>25</xdr:row>
      <xdr:rowOff>167640</xdr:rowOff>
    </xdr:from>
    <xdr:to>
      <xdr:col>6</xdr:col>
      <xdr:colOff>182880</xdr:colOff>
      <xdr:row>31</xdr:row>
      <xdr:rowOff>220980</xdr:rowOff>
    </xdr:to>
    <xdr:sp macro="" textlink="">
      <xdr:nvSpPr>
        <xdr:cNvPr id="38" name="Rectángulo 37">
          <a:extLst>
            <a:ext uri="{FF2B5EF4-FFF2-40B4-BE49-F238E27FC236}">
              <a16:creationId xmlns:a16="http://schemas.microsoft.com/office/drawing/2014/main" id="{00000000-0008-0000-0100-000026000000}"/>
            </a:ext>
          </a:extLst>
        </xdr:cNvPr>
        <xdr:cNvSpPr/>
      </xdr:nvSpPr>
      <xdr:spPr>
        <a:xfrm>
          <a:off x="1104900" y="3596640"/>
          <a:ext cx="586740" cy="14249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ES" sz="1400" b="1"/>
            <a:t>Contenido</a:t>
          </a:r>
        </a:p>
      </xdr:txBody>
    </xdr:sp>
    <xdr:clientData/>
  </xdr:twoCellAnchor>
  <xdr:twoCellAnchor>
    <xdr:from>
      <xdr:col>14</xdr:col>
      <xdr:colOff>83820</xdr:colOff>
      <xdr:row>21</xdr:row>
      <xdr:rowOff>83820</xdr:rowOff>
    </xdr:from>
    <xdr:to>
      <xdr:col>21</xdr:col>
      <xdr:colOff>99060</xdr:colOff>
      <xdr:row>25</xdr:row>
      <xdr:rowOff>129540</xdr:rowOff>
    </xdr:to>
    <xdr:sp macro="" textlink="">
      <xdr:nvSpPr>
        <xdr:cNvPr id="39" name="Rectángulo 38">
          <a:extLst>
            <a:ext uri="{FF2B5EF4-FFF2-40B4-BE49-F238E27FC236}">
              <a16:creationId xmlns:a16="http://schemas.microsoft.com/office/drawing/2014/main" id="{00000000-0008-0000-0100-000027000000}"/>
            </a:ext>
          </a:extLst>
        </xdr:cNvPr>
        <xdr:cNvSpPr/>
      </xdr:nvSpPr>
      <xdr:spPr>
        <a:xfrm>
          <a:off x="3604260" y="2598420"/>
          <a:ext cx="1775460" cy="96012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100" b="1" baseline="0"/>
            <a:t>Diligenciar la información sobre los recursos necesarios para calcular los costos de los recicladorse</a:t>
          </a:r>
          <a:endParaRPr lang="es-ES" sz="1100" b="1"/>
        </a:p>
      </xdr:txBody>
    </xdr:sp>
    <xdr:clientData/>
  </xdr:twoCellAnchor>
  <xdr:twoCellAnchor>
    <xdr:from>
      <xdr:col>14</xdr:col>
      <xdr:colOff>68580</xdr:colOff>
      <xdr:row>25</xdr:row>
      <xdr:rowOff>198120</xdr:rowOff>
    </xdr:from>
    <xdr:to>
      <xdr:col>21</xdr:col>
      <xdr:colOff>83820</xdr:colOff>
      <xdr:row>31</xdr:row>
      <xdr:rowOff>220980</xdr:rowOff>
    </xdr:to>
    <xdr:sp macro="" textlink="">
      <xdr:nvSpPr>
        <xdr:cNvPr id="40" name="Rectángulo 39">
          <a:extLst>
            <a:ext uri="{FF2B5EF4-FFF2-40B4-BE49-F238E27FC236}">
              <a16:creationId xmlns:a16="http://schemas.microsoft.com/office/drawing/2014/main" id="{00000000-0008-0000-0100-000028000000}"/>
            </a:ext>
          </a:extLst>
        </xdr:cNvPr>
        <xdr:cNvSpPr/>
      </xdr:nvSpPr>
      <xdr:spPr>
        <a:xfrm>
          <a:off x="3589020" y="3627120"/>
          <a:ext cx="1775460" cy="13944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100" b="1"/>
            <a:t>- Recursos</a:t>
          </a:r>
          <a:r>
            <a:rPr lang="es-ES" sz="1100" b="1" baseline="0"/>
            <a:t> para la recolección y transporte</a:t>
          </a:r>
        </a:p>
        <a:p>
          <a:pPr algn="ctr"/>
          <a:r>
            <a:rPr lang="es-ES" sz="1100" b="1" baseline="0"/>
            <a:t>- Recursos para el centro de acopio</a:t>
          </a:r>
        </a:p>
        <a:p>
          <a:pPr algn="ctr"/>
          <a:r>
            <a:rPr lang="es-ES" sz="1100" b="1" baseline="0"/>
            <a:t>- Gastos de administración y capital de trabajo</a:t>
          </a:r>
        </a:p>
        <a:p>
          <a:pPr algn="ctr"/>
          <a:r>
            <a:rPr lang="es-ES" sz="1100" b="1" baseline="0"/>
            <a:t>- Ingresos</a:t>
          </a:r>
          <a:endParaRPr lang="es-ES" sz="1100" b="1"/>
        </a:p>
      </xdr:txBody>
    </xdr:sp>
    <xdr:clientData/>
  </xdr:twoCellAnchor>
  <xdr:twoCellAnchor>
    <xdr:from>
      <xdr:col>21</xdr:col>
      <xdr:colOff>198120</xdr:colOff>
      <xdr:row>21</xdr:row>
      <xdr:rowOff>76200</xdr:rowOff>
    </xdr:from>
    <xdr:to>
      <xdr:col>28</xdr:col>
      <xdr:colOff>167640</xdr:colOff>
      <xdr:row>25</xdr:row>
      <xdr:rowOff>137160</xdr:rowOff>
    </xdr:to>
    <xdr:sp macro="" textlink="">
      <xdr:nvSpPr>
        <xdr:cNvPr id="41" name="Rectángulo 40">
          <a:extLst>
            <a:ext uri="{FF2B5EF4-FFF2-40B4-BE49-F238E27FC236}">
              <a16:creationId xmlns:a16="http://schemas.microsoft.com/office/drawing/2014/main" id="{00000000-0008-0000-0100-000029000000}"/>
            </a:ext>
          </a:extLst>
        </xdr:cNvPr>
        <xdr:cNvSpPr/>
      </xdr:nvSpPr>
      <xdr:spPr>
        <a:xfrm>
          <a:off x="5478780" y="2590800"/>
          <a:ext cx="1729740" cy="97536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ES" sz="1100" b="1">
              <a:solidFill>
                <a:sysClr val="windowText" lastClr="000000"/>
              </a:solidFill>
              <a:effectLst/>
              <a:latin typeface="+mn-lt"/>
              <a:ea typeface="+mn-ea"/>
              <a:cs typeface="+mn-cs"/>
            </a:rPr>
            <a:t>Diligenciar </a:t>
          </a:r>
          <a:r>
            <a:rPr lang="es-ES" sz="1100" b="1" baseline="0">
              <a:solidFill>
                <a:sysClr val="windowText" lastClr="000000"/>
              </a:solidFill>
              <a:effectLst/>
              <a:latin typeface="+mn-lt"/>
              <a:ea typeface="+mn-ea"/>
              <a:cs typeface="+mn-cs"/>
            </a:rPr>
            <a:t>información sobre los recursos necesarios para calcular los costos de los prestadores</a:t>
          </a:r>
          <a:endParaRPr lang="es-ES">
            <a:solidFill>
              <a:sysClr val="windowText" lastClr="000000"/>
            </a:solidFill>
            <a:effectLst/>
          </a:endParaRPr>
        </a:p>
      </xdr:txBody>
    </xdr:sp>
    <xdr:clientData/>
  </xdr:twoCellAnchor>
  <xdr:twoCellAnchor>
    <xdr:from>
      <xdr:col>21</xdr:col>
      <xdr:colOff>198120</xdr:colOff>
      <xdr:row>25</xdr:row>
      <xdr:rowOff>220980</xdr:rowOff>
    </xdr:from>
    <xdr:to>
      <xdr:col>28</xdr:col>
      <xdr:colOff>175260</xdr:colOff>
      <xdr:row>31</xdr:row>
      <xdr:rowOff>213360</xdr:rowOff>
    </xdr:to>
    <xdr:sp macro="" textlink="">
      <xdr:nvSpPr>
        <xdr:cNvPr id="42" name="Rectángulo 41">
          <a:extLst>
            <a:ext uri="{FF2B5EF4-FFF2-40B4-BE49-F238E27FC236}">
              <a16:creationId xmlns:a16="http://schemas.microsoft.com/office/drawing/2014/main" id="{00000000-0008-0000-0100-00002A000000}"/>
            </a:ext>
          </a:extLst>
        </xdr:cNvPr>
        <xdr:cNvSpPr/>
      </xdr:nvSpPr>
      <xdr:spPr>
        <a:xfrm>
          <a:off x="5478780" y="3649980"/>
          <a:ext cx="1737360" cy="136398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ES" sz="1100" b="1"/>
            <a:t>- Recursos</a:t>
          </a:r>
          <a:r>
            <a:rPr lang="es-ES" sz="1100" b="1" baseline="0"/>
            <a:t> para la recolección y transporte</a:t>
          </a:r>
        </a:p>
        <a:p>
          <a:pPr algn="ctr"/>
          <a:r>
            <a:rPr lang="es-ES" sz="1100" b="1" baseline="0"/>
            <a:t>- Recursos para el centro de acopio</a:t>
          </a:r>
        </a:p>
        <a:p>
          <a:pPr algn="ctr"/>
          <a:r>
            <a:rPr lang="es-ES" sz="1100" b="1" baseline="0"/>
            <a:t>- Gastos de administración y capital de trabajo</a:t>
          </a:r>
        </a:p>
        <a:p>
          <a:pPr algn="ctr"/>
          <a:r>
            <a:rPr lang="es-ES" sz="1100" b="1" baseline="0"/>
            <a:t>- Ingresos</a:t>
          </a:r>
          <a:endParaRPr lang="es-ES" sz="1100" b="1"/>
        </a:p>
      </xdr:txBody>
    </xdr:sp>
    <xdr:clientData/>
  </xdr:twoCellAnchor>
  <xdr:twoCellAnchor>
    <xdr:from>
      <xdr:col>29</xdr:col>
      <xdr:colOff>15240</xdr:colOff>
      <xdr:row>21</xdr:row>
      <xdr:rowOff>76200</xdr:rowOff>
    </xdr:from>
    <xdr:to>
      <xdr:col>35</xdr:col>
      <xdr:colOff>236220</xdr:colOff>
      <xdr:row>25</xdr:row>
      <xdr:rowOff>137160</xdr:rowOff>
    </xdr:to>
    <xdr:sp macro="" textlink="">
      <xdr:nvSpPr>
        <xdr:cNvPr id="43" name="Rectángulo 42">
          <a:extLst>
            <a:ext uri="{FF2B5EF4-FFF2-40B4-BE49-F238E27FC236}">
              <a16:creationId xmlns:a16="http://schemas.microsoft.com/office/drawing/2014/main" id="{00000000-0008-0000-0100-00002B000000}"/>
            </a:ext>
          </a:extLst>
        </xdr:cNvPr>
        <xdr:cNvSpPr/>
      </xdr:nvSpPr>
      <xdr:spPr>
        <a:xfrm>
          <a:off x="7307580" y="2819400"/>
          <a:ext cx="1729740" cy="975360"/>
        </a:xfrm>
        <a:prstGeom prst="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ES" sz="1100" b="1"/>
            <a:t>Graficamente</a:t>
          </a:r>
          <a:r>
            <a:rPr lang="es-ES" sz="1100" b="1" baseline="0"/>
            <a:t> presenta los resultados para cada uno de los escenarios </a:t>
          </a:r>
          <a:endParaRPr lang="es-ES" sz="1100" b="1"/>
        </a:p>
      </xdr:txBody>
    </xdr:sp>
    <xdr:clientData/>
  </xdr:twoCellAnchor>
  <xdr:twoCellAnchor>
    <xdr:from>
      <xdr:col>36</xdr:col>
      <xdr:colOff>60960</xdr:colOff>
      <xdr:row>25</xdr:row>
      <xdr:rowOff>213360</xdr:rowOff>
    </xdr:from>
    <xdr:to>
      <xdr:col>43</xdr:col>
      <xdr:colOff>68580</xdr:colOff>
      <xdr:row>31</xdr:row>
      <xdr:rowOff>190500</xdr:rowOff>
    </xdr:to>
    <xdr:sp macro="" textlink="">
      <xdr:nvSpPr>
        <xdr:cNvPr id="44" name="Rectángulo 43">
          <a:extLst>
            <a:ext uri="{FF2B5EF4-FFF2-40B4-BE49-F238E27FC236}">
              <a16:creationId xmlns:a16="http://schemas.microsoft.com/office/drawing/2014/main" id="{00000000-0008-0000-0100-00002C000000}"/>
            </a:ext>
          </a:extLst>
        </xdr:cNvPr>
        <xdr:cNvSpPr/>
      </xdr:nvSpPr>
      <xdr:spPr>
        <a:xfrm>
          <a:off x="9113520" y="3870960"/>
          <a:ext cx="1767840" cy="134874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ES" sz="1100" b="1"/>
            <a:t>- Datos modelados</a:t>
          </a:r>
        </a:p>
        <a:p>
          <a:pPr algn="ctr"/>
          <a:r>
            <a:rPr lang="es-ES" sz="1100" b="1"/>
            <a:t>-Recursos necesarios</a:t>
          </a:r>
        </a:p>
        <a:p>
          <a:pPr algn="ctr"/>
          <a:r>
            <a:rPr lang="es-ES" sz="1100" b="1"/>
            <a:t>-</a:t>
          </a:r>
          <a:r>
            <a:rPr lang="es-ES" sz="1100" b="1" baseline="0"/>
            <a:t> Balance general por escenario</a:t>
          </a:r>
        </a:p>
        <a:p>
          <a:pPr algn="ctr"/>
          <a:r>
            <a:rPr lang="es-ES" sz="1100" b="1" baseline="0"/>
            <a:t>- Balance general por fuente de recursos</a:t>
          </a:r>
          <a:endParaRPr lang="es-ES" sz="1100" b="1"/>
        </a:p>
      </xdr:txBody>
    </xdr:sp>
    <xdr:clientData/>
  </xdr:twoCellAnchor>
  <xdr:twoCellAnchor>
    <xdr:from>
      <xdr:col>36</xdr:col>
      <xdr:colOff>76200</xdr:colOff>
      <xdr:row>21</xdr:row>
      <xdr:rowOff>83820</xdr:rowOff>
    </xdr:from>
    <xdr:to>
      <xdr:col>43</xdr:col>
      <xdr:colOff>83820</xdr:colOff>
      <xdr:row>25</xdr:row>
      <xdr:rowOff>137160</xdr:rowOff>
    </xdr:to>
    <xdr:sp macro="" textlink="">
      <xdr:nvSpPr>
        <xdr:cNvPr id="45" name="Rectángulo 44">
          <a:extLst>
            <a:ext uri="{FF2B5EF4-FFF2-40B4-BE49-F238E27FC236}">
              <a16:creationId xmlns:a16="http://schemas.microsoft.com/office/drawing/2014/main" id="{00000000-0008-0000-0100-00002D000000}"/>
            </a:ext>
          </a:extLst>
        </xdr:cNvPr>
        <xdr:cNvSpPr/>
      </xdr:nvSpPr>
      <xdr:spPr>
        <a:xfrm>
          <a:off x="9128760" y="2827020"/>
          <a:ext cx="1767840" cy="96774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ES" sz="1100" b="1"/>
            <a:t>Presenta el detalle de los  recursos, costos e ingresos de acuerdo con los escenarios </a:t>
          </a:r>
        </a:p>
      </xdr:txBody>
    </xdr:sp>
    <xdr:clientData/>
  </xdr:twoCellAnchor>
  <xdr:twoCellAnchor>
    <xdr:from>
      <xdr:col>29</xdr:col>
      <xdr:colOff>0</xdr:colOff>
      <xdr:row>26</xdr:row>
      <xdr:rowOff>15240</xdr:rowOff>
    </xdr:from>
    <xdr:to>
      <xdr:col>36</xdr:col>
      <xdr:colOff>7620</xdr:colOff>
      <xdr:row>31</xdr:row>
      <xdr:rowOff>220980</xdr:rowOff>
    </xdr:to>
    <xdr:sp macro="" textlink="">
      <xdr:nvSpPr>
        <xdr:cNvPr id="46" name="Rectángulo 45">
          <a:extLst>
            <a:ext uri="{FF2B5EF4-FFF2-40B4-BE49-F238E27FC236}">
              <a16:creationId xmlns:a16="http://schemas.microsoft.com/office/drawing/2014/main" id="{00000000-0008-0000-0100-00002E000000}"/>
            </a:ext>
          </a:extLst>
        </xdr:cNvPr>
        <xdr:cNvSpPr/>
      </xdr:nvSpPr>
      <xdr:spPr>
        <a:xfrm>
          <a:off x="7292340" y="3901440"/>
          <a:ext cx="1767840" cy="1348740"/>
        </a:xfrm>
        <a:prstGeom prst="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ES" sz="1100" b="1"/>
            <a:t>-</a:t>
          </a:r>
          <a:r>
            <a:rPr lang="es-ES" sz="1100" b="1" baseline="0"/>
            <a:t> Gráfico de inversiones por escenario</a:t>
          </a:r>
        </a:p>
        <a:p>
          <a:pPr algn="ctr"/>
          <a:r>
            <a:rPr lang="es-ES" sz="1100" b="1" baseline="0"/>
            <a:t>- Gráfica de Ingresos, costos y utilidad o pérdida por escenario</a:t>
          </a:r>
          <a:endParaRPr lang="es-ES" sz="1100" b="1"/>
        </a:p>
      </xdr:txBody>
    </xdr:sp>
    <xdr:clientData/>
  </xdr:twoCellAnchor>
  <xdr:twoCellAnchor>
    <xdr:from>
      <xdr:col>43</xdr:col>
      <xdr:colOff>160020</xdr:colOff>
      <xdr:row>21</xdr:row>
      <xdr:rowOff>83820</xdr:rowOff>
    </xdr:from>
    <xdr:to>
      <xdr:col>50</xdr:col>
      <xdr:colOff>129540</xdr:colOff>
      <xdr:row>25</xdr:row>
      <xdr:rowOff>144780</xdr:rowOff>
    </xdr:to>
    <xdr:sp macro="" textlink="">
      <xdr:nvSpPr>
        <xdr:cNvPr id="47" name="Rectángulo 46">
          <a:extLst>
            <a:ext uri="{FF2B5EF4-FFF2-40B4-BE49-F238E27FC236}">
              <a16:creationId xmlns:a16="http://schemas.microsoft.com/office/drawing/2014/main" id="{00000000-0008-0000-0100-00002F000000}"/>
            </a:ext>
          </a:extLst>
        </xdr:cNvPr>
        <xdr:cNvSpPr/>
      </xdr:nvSpPr>
      <xdr:spPr>
        <a:xfrm>
          <a:off x="10972800" y="2827020"/>
          <a:ext cx="1729740" cy="97536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ES" sz="1100" b="1"/>
            <a:t>Compara</a:t>
          </a:r>
          <a:r>
            <a:rPr lang="es-ES" sz="1100" b="1" baseline="0"/>
            <a:t> gráficamente los costos según escenario y actividad </a:t>
          </a:r>
          <a:endParaRPr lang="es-ES" sz="1100" b="1"/>
        </a:p>
      </xdr:txBody>
    </xdr:sp>
    <xdr:clientData/>
  </xdr:twoCellAnchor>
  <xdr:twoCellAnchor>
    <xdr:from>
      <xdr:col>43</xdr:col>
      <xdr:colOff>160020</xdr:colOff>
      <xdr:row>25</xdr:row>
      <xdr:rowOff>198120</xdr:rowOff>
    </xdr:from>
    <xdr:to>
      <xdr:col>50</xdr:col>
      <xdr:colOff>129540</xdr:colOff>
      <xdr:row>31</xdr:row>
      <xdr:rowOff>175260</xdr:rowOff>
    </xdr:to>
    <xdr:sp macro="" textlink="">
      <xdr:nvSpPr>
        <xdr:cNvPr id="48" name="Rectángulo 47">
          <a:extLst>
            <a:ext uri="{FF2B5EF4-FFF2-40B4-BE49-F238E27FC236}">
              <a16:creationId xmlns:a16="http://schemas.microsoft.com/office/drawing/2014/main" id="{00000000-0008-0000-0100-000030000000}"/>
            </a:ext>
          </a:extLst>
        </xdr:cNvPr>
        <xdr:cNvSpPr/>
      </xdr:nvSpPr>
      <xdr:spPr>
        <a:xfrm>
          <a:off x="10972800" y="3855720"/>
          <a:ext cx="1729740" cy="1348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ES" sz="1100" b="1"/>
            <a:t>- Gráfica por escenario</a:t>
          </a:r>
        </a:p>
      </xdr:txBody>
    </xdr:sp>
    <xdr:clientData/>
  </xdr:twoCellAnchor>
  <xdr:twoCellAnchor>
    <xdr:from>
      <xdr:col>1</xdr:col>
      <xdr:colOff>243840</xdr:colOff>
      <xdr:row>4</xdr:row>
      <xdr:rowOff>220980</xdr:rowOff>
    </xdr:from>
    <xdr:to>
      <xdr:col>50</xdr:col>
      <xdr:colOff>190500</xdr:colOff>
      <xdr:row>7</xdr:row>
      <xdr:rowOff>152400</xdr:rowOff>
    </xdr:to>
    <xdr:sp macro="" textlink="">
      <xdr:nvSpPr>
        <xdr:cNvPr id="49" name="Rectángulo 48">
          <a:extLst>
            <a:ext uri="{FF2B5EF4-FFF2-40B4-BE49-F238E27FC236}">
              <a16:creationId xmlns:a16="http://schemas.microsoft.com/office/drawing/2014/main" id="{00000000-0008-0000-0100-000031000000}"/>
            </a:ext>
          </a:extLst>
        </xdr:cNvPr>
        <xdr:cNvSpPr/>
      </xdr:nvSpPr>
      <xdr:spPr>
        <a:xfrm>
          <a:off x="495300" y="220980"/>
          <a:ext cx="12268200" cy="6172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ES" sz="3600" b="1"/>
            <a:t>INFORMACIÓN GENERAL DEL MODELO</a:t>
          </a:r>
        </a:p>
      </xdr:txBody>
    </xdr:sp>
    <xdr:clientData/>
  </xdr:twoCellAnchor>
  <xdr:twoCellAnchor>
    <xdr:from>
      <xdr:col>1</xdr:col>
      <xdr:colOff>243840</xdr:colOff>
      <xdr:row>70</xdr:row>
      <xdr:rowOff>15240</xdr:rowOff>
    </xdr:from>
    <xdr:to>
      <xdr:col>50</xdr:col>
      <xdr:colOff>190500</xdr:colOff>
      <xdr:row>72</xdr:row>
      <xdr:rowOff>175260</xdr:rowOff>
    </xdr:to>
    <xdr:sp macro="" textlink="">
      <xdr:nvSpPr>
        <xdr:cNvPr id="51" name="Rectángulo 50">
          <a:extLst>
            <a:ext uri="{FF2B5EF4-FFF2-40B4-BE49-F238E27FC236}">
              <a16:creationId xmlns:a16="http://schemas.microsoft.com/office/drawing/2014/main" id="{00000000-0008-0000-0100-000033000000}"/>
            </a:ext>
          </a:extLst>
        </xdr:cNvPr>
        <xdr:cNvSpPr/>
      </xdr:nvSpPr>
      <xdr:spPr>
        <a:xfrm>
          <a:off x="495300" y="6416040"/>
          <a:ext cx="12268200" cy="6172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ES" sz="3600" b="1"/>
            <a:t>PASOS</a:t>
          </a:r>
          <a:r>
            <a:rPr lang="es-ES" sz="3600" b="1" baseline="0"/>
            <a:t> PARA UTILIZAR LA HERRAMIENTA</a:t>
          </a:r>
          <a:endParaRPr lang="es-ES" sz="3600" b="1"/>
        </a:p>
      </xdr:txBody>
    </xdr:sp>
    <xdr:clientData/>
  </xdr:twoCellAnchor>
  <xdr:twoCellAnchor>
    <xdr:from>
      <xdr:col>2</xdr:col>
      <xdr:colOff>22860</xdr:colOff>
      <xdr:row>74</xdr:row>
      <xdr:rowOff>114300</xdr:rowOff>
    </xdr:from>
    <xdr:to>
      <xdr:col>4</xdr:col>
      <xdr:colOff>160020</xdr:colOff>
      <xdr:row>77</xdr:row>
      <xdr:rowOff>30480</xdr:rowOff>
    </xdr:to>
    <xdr:sp macro="" textlink="">
      <xdr:nvSpPr>
        <xdr:cNvPr id="52" name="Elipse 51">
          <a:extLst>
            <a:ext uri="{FF2B5EF4-FFF2-40B4-BE49-F238E27FC236}">
              <a16:creationId xmlns:a16="http://schemas.microsoft.com/office/drawing/2014/main" id="{00000000-0008-0000-0100-000034000000}"/>
            </a:ext>
          </a:extLst>
        </xdr:cNvPr>
        <xdr:cNvSpPr/>
      </xdr:nvSpPr>
      <xdr:spPr>
        <a:xfrm>
          <a:off x="525780" y="18859500"/>
          <a:ext cx="640080" cy="6019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t>1</a:t>
          </a:r>
        </a:p>
      </xdr:txBody>
    </xdr:sp>
    <xdr:clientData/>
  </xdr:twoCellAnchor>
  <xdr:twoCellAnchor>
    <xdr:from>
      <xdr:col>5</xdr:col>
      <xdr:colOff>83820</xdr:colOff>
      <xdr:row>74</xdr:row>
      <xdr:rowOff>220980</xdr:rowOff>
    </xdr:from>
    <xdr:to>
      <xdr:col>50</xdr:col>
      <xdr:colOff>198120</xdr:colOff>
      <xdr:row>76</xdr:row>
      <xdr:rowOff>152400</xdr:rowOff>
    </xdr:to>
    <xdr:sp macro="" textlink="">
      <xdr:nvSpPr>
        <xdr:cNvPr id="53" name="Rectángulo 52">
          <a:extLst>
            <a:ext uri="{FF2B5EF4-FFF2-40B4-BE49-F238E27FC236}">
              <a16:creationId xmlns:a16="http://schemas.microsoft.com/office/drawing/2014/main" id="{00000000-0008-0000-0100-000035000000}"/>
            </a:ext>
          </a:extLst>
        </xdr:cNvPr>
        <xdr:cNvSpPr/>
      </xdr:nvSpPr>
      <xdr:spPr>
        <a:xfrm>
          <a:off x="1341120" y="7536180"/>
          <a:ext cx="11430000" cy="3886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Habilitar</a:t>
          </a:r>
          <a:r>
            <a:rPr lang="es-ES" sz="1400" b="1" baseline="0"/>
            <a:t> el excel para utilizar la función de macros</a:t>
          </a:r>
          <a:endParaRPr lang="es-ES" sz="1400" b="1"/>
        </a:p>
      </xdr:txBody>
    </xdr:sp>
    <xdr:clientData/>
  </xdr:twoCellAnchor>
  <xdr:twoCellAnchor>
    <xdr:from>
      <xdr:col>1</xdr:col>
      <xdr:colOff>243840</xdr:colOff>
      <xdr:row>78</xdr:row>
      <xdr:rowOff>83820</xdr:rowOff>
    </xdr:from>
    <xdr:to>
      <xdr:col>4</xdr:col>
      <xdr:colOff>129540</xdr:colOff>
      <xdr:row>80</xdr:row>
      <xdr:rowOff>213360</xdr:rowOff>
    </xdr:to>
    <xdr:sp macro="" textlink="">
      <xdr:nvSpPr>
        <xdr:cNvPr id="54" name="Elipse 53">
          <a:extLst>
            <a:ext uri="{FF2B5EF4-FFF2-40B4-BE49-F238E27FC236}">
              <a16:creationId xmlns:a16="http://schemas.microsoft.com/office/drawing/2014/main" id="{00000000-0008-0000-0100-000036000000}"/>
            </a:ext>
          </a:extLst>
        </xdr:cNvPr>
        <xdr:cNvSpPr/>
      </xdr:nvSpPr>
      <xdr:spPr>
        <a:xfrm>
          <a:off x="495300" y="8084820"/>
          <a:ext cx="640080" cy="5867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t>1.1</a:t>
          </a:r>
        </a:p>
      </xdr:txBody>
    </xdr:sp>
    <xdr:clientData/>
  </xdr:twoCellAnchor>
  <xdr:twoCellAnchor>
    <xdr:from>
      <xdr:col>5</xdr:col>
      <xdr:colOff>76200</xdr:colOff>
      <xdr:row>78</xdr:row>
      <xdr:rowOff>152400</xdr:rowOff>
    </xdr:from>
    <xdr:to>
      <xdr:col>50</xdr:col>
      <xdr:colOff>190500</xdr:colOff>
      <xdr:row>80</xdr:row>
      <xdr:rowOff>83820</xdr:rowOff>
    </xdr:to>
    <xdr:sp macro="" textlink="">
      <xdr:nvSpPr>
        <xdr:cNvPr id="55" name="Rectángulo 54">
          <a:extLst>
            <a:ext uri="{FF2B5EF4-FFF2-40B4-BE49-F238E27FC236}">
              <a16:creationId xmlns:a16="http://schemas.microsoft.com/office/drawing/2014/main" id="{00000000-0008-0000-0100-000037000000}"/>
            </a:ext>
          </a:extLst>
        </xdr:cNvPr>
        <xdr:cNvSpPr/>
      </xdr:nvSpPr>
      <xdr:spPr>
        <a:xfrm>
          <a:off x="1333500" y="8153400"/>
          <a:ext cx="11430000" cy="3886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Cuando el nivel de seguridad configurado en el Excel permite la habilitación de macros</a:t>
          </a:r>
        </a:p>
      </xdr:txBody>
    </xdr:sp>
    <xdr:clientData/>
  </xdr:twoCellAnchor>
  <xdr:twoCellAnchor>
    <xdr:from>
      <xdr:col>5</xdr:col>
      <xdr:colOff>38100</xdr:colOff>
      <xdr:row>81</xdr:row>
      <xdr:rowOff>198120</xdr:rowOff>
    </xdr:from>
    <xdr:to>
      <xdr:col>50</xdr:col>
      <xdr:colOff>152400</xdr:colOff>
      <xdr:row>84</xdr:row>
      <xdr:rowOff>182880</xdr:rowOff>
    </xdr:to>
    <xdr:sp macro="" textlink="">
      <xdr:nvSpPr>
        <xdr:cNvPr id="56" name="Rectángulo 55">
          <a:extLst>
            <a:ext uri="{FF2B5EF4-FFF2-40B4-BE49-F238E27FC236}">
              <a16:creationId xmlns:a16="http://schemas.microsoft.com/office/drawing/2014/main" id="{00000000-0008-0000-0100-000038000000}"/>
            </a:ext>
          </a:extLst>
        </xdr:cNvPr>
        <xdr:cNvSpPr/>
      </xdr:nvSpPr>
      <xdr:spPr>
        <a:xfrm>
          <a:off x="1295400" y="20543520"/>
          <a:ext cx="11430000" cy="67056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1400" b="1"/>
            <a:t>Si al abrir el archivo de Excel aparece la advertencia que se muestra en la imagen, haga clic en el botón</a:t>
          </a:r>
          <a:r>
            <a:rPr lang="es-ES" sz="1400" b="1" baseline="0"/>
            <a:t> "opciones", seleccione la opción "habilitar este contenido" y haga clic en "aceptar".</a:t>
          </a:r>
          <a:endParaRPr lang="es-ES" sz="1400" b="1"/>
        </a:p>
      </xdr:txBody>
    </xdr:sp>
    <xdr:clientData/>
  </xdr:twoCellAnchor>
  <xdr:twoCellAnchor>
    <xdr:from>
      <xdr:col>2</xdr:col>
      <xdr:colOff>53340</xdr:colOff>
      <xdr:row>105</xdr:row>
      <xdr:rowOff>83820</xdr:rowOff>
    </xdr:from>
    <xdr:to>
      <xdr:col>4</xdr:col>
      <xdr:colOff>190500</xdr:colOff>
      <xdr:row>107</xdr:row>
      <xdr:rowOff>213360</xdr:rowOff>
    </xdr:to>
    <xdr:sp macro="" textlink="">
      <xdr:nvSpPr>
        <xdr:cNvPr id="58" name="Elipse 57">
          <a:extLst>
            <a:ext uri="{FF2B5EF4-FFF2-40B4-BE49-F238E27FC236}">
              <a16:creationId xmlns:a16="http://schemas.microsoft.com/office/drawing/2014/main" id="{00000000-0008-0000-0100-00003A000000}"/>
            </a:ext>
          </a:extLst>
        </xdr:cNvPr>
        <xdr:cNvSpPr/>
      </xdr:nvSpPr>
      <xdr:spPr>
        <a:xfrm>
          <a:off x="556260" y="13799820"/>
          <a:ext cx="640080" cy="5867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t>1.2</a:t>
          </a:r>
        </a:p>
      </xdr:txBody>
    </xdr:sp>
    <xdr:clientData/>
  </xdr:twoCellAnchor>
  <xdr:twoCellAnchor>
    <xdr:from>
      <xdr:col>5</xdr:col>
      <xdr:colOff>137160</xdr:colOff>
      <xdr:row>105</xdr:row>
      <xdr:rowOff>152400</xdr:rowOff>
    </xdr:from>
    <xdr:to>
      <xdr:col>51</xdr:col>
      <xdr:colOff>0</xdr:colOff>
      <xdr:row>107</xdr:row>
      <xdr:rowOff>83820</xdr:rowOff>
    </xdr:to>
    <xdr:sp macro="" textlink="">
      <xdr:nvSpPr>
        <xdr:cNvPr id="59" name="Rectángulo 58">
          <a:extLst>
            <a:ext uri="{FF2B5EF4-FFF2-40B4-BE49-F238E27FC236}">
              <a16:creationId xmlns:a16="http://schemas.microsoft.com/office/drawing/2014/main" id="{00000000-0008-0000-0100-00003B000000}"/>
            </a:ext>
          </a:extLst>
        </xdr:cNvPr>
        <xdr:cNvSpPr/>
      </xdr:nvSpPr>
      <xdr:spPr>
        <a:xfrm>
          <a:off x="1394460" y="13868400"/>
          <a:ext cx="11430000" cy="3886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Cuando el nivel de seguridad configurado en el Excel no permite la habilitación de macros.</a:t>
          </a:r>
        </a:p>
      </xdr:txBody>
    </xdr:sp>
    <xdr:clientData/>
  </xdr:twoCellAnchor>
  <xdr:twoCellAnchor>
    <xdr:from>
      <xdr:col>6</xdr:col>
      <xdr:colOff>0</xdr:colOff>
      <xdr:row>109</xdr:row>
      <xdr:rowOff>0</xdr:rowOff>
    </xdr:from>
    <xdr:to>
      <xdr:col>51</xdr:col>
      <xdr:colOff>114300</xdr:colOff>
      <xdr:row>111</xdr:row>
      <xdr:rowOff>213360</xdr:rowOff>
    </xdr:to>
    <xdr:sp macro="" textlink="">
      <xdr:nvSpPr>
        <xdr:cNvPr id="60" name="Rectángulo 59">
          <a:extLst>
            <a:ext uri="{FF2B5EF4-FFF2-40B4-BE49-F238E27FC236}">
              <a16:creationId xmlns:a16="http://schemas.microsoft.com/office/drawing/2014/main" id="{00000000-0008-0000-0100-00003C000000}"/>
            </a:ext>
          </a:extLst>
        </xdr:cNvPr>
        <xdr:cNvSpPr/>
      </xdr:nvSpPr>
      <xdr:spPr>
        <a:xfrm>
          <a:off x="1508760" y="14630400"/>
          <a:ext cx="11430000" cy="67056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1400" b="1"/>
            <a:t>En la versión 2003,</a:t>
          </a:r>
          <a:r>
            <a:rPr lang="es-ES" sz="1400" b="1" baseline="0"/>
            <a:t> en el menú "Herramientas" seleccione la opción "Macro" y seleccione "Seguridad"; posteriormente seleccione el nivel de seguridad "Medio"</a:t>
          </a:r>
          <a:endParaRPr lang="es-ES" sz="1400" b="1"/>
        </a:p>
      </xdr:txBody>
    </xdr:sp>
    <xdr:clientData/>
  </xdr:twoCellAnchor>
  <xdr:twoCellAnchor editAs="oneCell">
    <xdr:from>
      <xdr:col>30</xdr:col>
      <xdr:colOff>121920</xdr:colOff>
      <xdr:row>113</xdr:row>
      <xdr:rowOff>22861</xdr:rowOff>
    </xdr:from>
    <xdr:to>
      <xdr:col>43</xdr:col>
      <xdr:colOff>102828</xdr:colOff>
      <xdr:row>126</xdr:row>
      <xdr:rowOff>175261</xdr:rowOff>
    </xdr:to>
    <xdr:pic>
      <xdr:nvPicPr>
        <xdr:cNvPr id="22" name="Imagen 21">
          <a:extLst>
            <a:ext uri="{FF2B5EF4-FFF2-40B4-BE49-F238E27FC236}">
              <a16:creationId xmlns:a16="http://schemas.microsoft.com/office/drawing/2014/main" id="{00000000-0008-0000-0100-000016000000}"/>
            </a:ext>
          </a:extLst>
        </xdr:cNvPr>
        <xdr:cNvPicPr>
          <a:picLocks noChangeAspect="1"/>
        </xdr:cNvPicPr>
      </xdr:nvPicPr>
      <xdr:blipFill rotWithShape="1">
        <a:blip xmlns:r="http://schemas.openxmlformats.org/officeDocument/2006/relationships" r:embed="rId8"/>
        <a:srcRect l="33838" t="12632" r="35028" b="34137"/>
        <a:stretch/>
      </xdr:blipFill>
      <xdr:spPr>
        <a:xfrm>
          <a:off x="7665720" y="15567661"/>
          <a:ext cx="3249888" cy="3124200"/>
        </a:xfrm>
        <a:prstGeom prst="rect">
          <a:avLst/>
        </a:prstGeom>
      </xdr:spPr>
    </xdr:pic>
    <xdr:clientData/>
  </xdr:twoCellAnchor>
  <xdr:twoCellAnchor>
    <xdr:from>
      <xdr:col>28</xdr:col>
      <xdr:colOff>144780</xdr:colOff>
      <xdr:row>118</xdr:row>
      <xdr:rowOff>182880</xdr:rowOff>
    </xdr:from>
    <xdr:to>
      <xdr:col>30</xdr:col>
      <xdr:colOff>76200</xdr:colOff>
      <xdr:row>118</xdr:row>
      <xdr:rowOff>182880</xdr:rowOff>
    </xdr:to>
    <xdr:cxnSp macro="">
      <xdr:nvCxnSpPr>
        <xdr:cNvPr id="24" name="Conector recto de flecha 23">
          <a:extLst>
            <a:ext uri="{FF2B5EF4-FFF2-40B4-BE49-F238E27FC236}">
              <a16:creationId xmlns:a16="http://schemas.microsoft.com/office/drawing/2014/main" id="{00000000-0008-0000-0100-000018000000}"/>
            </a:ext>
          </a:extLst>
        </xdr:cNvPr>
        <xdr:cNvCxnSpPr/>
      </xdr:nvCxnSpPr>
      <xdr:spPr>
        <a:xfrm>
          <a:off x="7185660" y="16870680"/>
          <a:ext cx="434340" cy="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137160</xdr:colOff>
      <xdr:row>129</xdr:row>
      <xdr:rowOff>167640</xdr:rowOff>
    </xdr:from>
    <xdr:to>
      <xdr:col>52</xdr:col>
      <xdr:colOff>0</xdr:colOff>
      <xdr:row>132</xdr:row>
      <xdr:rowOff>152400</xdr:rowOff>
    </xdr:to>
    <xdr:sp macro="" textlink="">
      <xdr:nvSpPr>
        <xdr:cNvPr id="61" name="Rectángulo 60">
          <a:extLst>
            <a:ext uri="{FF2B5EF4-FFF2-40B4-BE49-F238E27FC236}">
              <a16:creationId xmlns:a16="http://schemas.microsoft.com/office/drawing/2014/main" id="{00000000-0008-0000-0100-00003D000000}"/>
            </a:ext>
          </a:extLst>
        </xdr:cNvPr>
        <xdr:cNvSpPr/>
      </xdr:nvSpPr>
      <xdr:spPr>
        <a:xfrm>
          <a:off x="1645920" y="31485840"/>
          <a:ext cx="11430000" cy="67056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1400" b="1"/>
            <a:t>En las versiones siguientes a 2003, selecciona</a:t>
          </a:r>
          <a:r>
            <a:rPr lang="es-ES" sz="1400" b="1" baseline="0"/>
            <a:t> en el botón de Office las "Opciones de Excel" u "Opciones" </a:t>
          </a:r>
          <a:endParaRPr lang="es-ES" sz="1400" b="1"/>
        </a:p>
      </xdr:txBody>
    </xdr:sp>
    <xdr:clientData/>
  </xdr:twoCellAnchor>
  <xdr:twoCellAnchor>
    <xdr:from>
      <xdr:col>7</xdr:col>
      <xdr:colOff>83820</xdr:colOff>
      <xdr:row>154</xdr:row>
      <xdr:rowOff>129540</xdr:rowOff>
    </xdr:from>
    <xdr:to>
      <xdr:col>52</xdr:col>
      <xdr:colOff>198120</xdr:colOff>
      <xdr:row>157</xdr:row>
      <xdr:rowOff>114300</xdr:rowOff>
    </xdr:to>
    <xdr:sp macro="" textlink="">
      <xdr:nvSpPr>
        <xdr:cNvPr id="62" name="Rectángulo 61">
          <a:extLst>
            <a:ext uri="{FF2B5EF4-FFF2-40B4-BE49-F238E27FC236}">
              <a16:creationId xmlns:a16="http://schemas.microsoft.com/office/drawing/2014/main" id="{00000000-0008-0000-0100-00003E000000}"/>
            </a:ext>
          </a:extLst>
        </xdr:cNvPr>
        <xdr:cNvSpPr/>
      </xdr:nvSpPr>
      <xdr:spPr>
        <a:xfrm>
          <a:off x="1844040" y="37162740"/>
          <a:ext cx="11430000" cy="67056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1400" b="1"/>
            <a:t>Una</a:t>
          </a:r>
          <a:r>
            <a:rPr lang="es-ES" sz="1400" b="1" baseline="0"/>
            <a:t> vez en esta ventana seleccione "Configuración del centro de confianza" ; en la sección configuración de macros seleccione la opción "Deshabilitar todas las macros con notificación" y dé clic en "Aceptar", cierre y abra excel nuevamente y siga el paso 1.1 de estas instrucciones.</a:t>
          </a:r>
          <a:endParaRPr lang="es-ES" sz="1400" b="1"/>
        </a:p>
      </xdr:txBody>
    </xdr:sp>
    <xdr:clientData/>
  </xdr:twoCellAnchor>
  <xdr:twoCellAnchor>
    <xdr:from>
      <xdr:col>3</xdr:col>
      <xdr:colOff>0</xdr:colOff>
      <xdr:row>178</xdr:row>
      <xdr:rowOff>0</xdr:rowOff>
    </xdr:from>
    <xdr:to>
      <xdr:col>5</xdr:col>
      <xdr:colOff>137160</xdr:colOff>
      <xdr:row>180</xdr:row>
      <xdr:rowOff>129540</xdr:rowOff>
    </xdr:to>
    <xdr:sp macro="" textlink="">
      <xdr:nvSpPr>
        <xdr:cNvPr id="63" name="Elipse 62">
          <a:extLst>
            <a:ext uri="{FF2B5EF4-FFF2-40B4-BE49-F238E27FC236}">
              <a16:creationId xmlns:a16="http://schemas.microsoft.com/office/drawing/2014/main" id="{00000000-0008-0000-0100-00003F000000}"/>
            </a:ext>
          </a:extLst>
        </xdr:cNvPr>
        <xdr:cNvSpPr/>
      </xdr:nvSpPr>
      <xdr:spPr>
        <a:xfrm>
          <a:off x="754380" y="28117800"/>
          <a:ext cx="640080" cy="5867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t>2</a:t>
          </a:r>
        </a:p>
      </xdr:txBody>
    </xdr:sp>
    <xdr:clientData/>
  </xdr:twoCellAnchor>
  <xdr:twoCellAnchor>
    <xdr:from>
      <xdr:col>1</xdr:col>
      <xdr:colOff>213360</xdr:colOff>
      <xdr:row>52</xdr:row>
      <xdr:rowOff>563880</xdr:rowOff>
    </xdr:from>
    <xdr:to>
      <xdr:col>3</xdr:col>
      <xdr:colOff>220980</xdr:colOff>
      <xdr:row>67</xdr:row>
      <xdr:rowOff>175260</xdr:rowOff>
    </xdr:to>
    <xdr:sp macro="" textlink="">
      <xdr:nvSpPr>
        <xdr:cNvPr id="64" name="Rectángulo 63">
          <a:extLst>
            <a:ext uri="{FF2B5EF4-FFF2-40B4-BE49-F238E27FC236}">
              <a16:creationId xmlns:a16="http://schemas.microsoft.com/office/drawing/2014/main" id="{00000000-0008-0000-0100-000040000000}"/>
            </a:ext>
          </a:extLst>
        </xdr:cNvPr>
        <xdr:cNvSpPr/>
      </xdr:nvSpPr>
      <xdr:spPr>
        <a:xfrm>
          <a:off x="464820" y="9685020"/>
          <a:ext cx="510540" cy="3467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ES" sz="1800" b="1"/>
            <a:t>Escenarios</a:t>
          </a:r>
        </a:p>
      </xdr:txBody>
    </xdr:sp>
    <xdr:clientData/>
  </xdr:twoCellAnchor>
  <xdr:twoCellAnchor>
    <xdr:from>
      <xdr:col>4</xdr:col>
      <xdr:colOff>121920</xdr:colOff>
      <xdr:row>57</xdr:row>
      <xdr:rowOff>0</xdr:rowOff>
    </xdr:from>
    <xdr:to>
      <xdr:col>6</xdr:col>
      <xdr:colOff>129540</xdr:colOff>
      <xdr:row>59</xdr:row>
      <xdr:rowOff>91440</xdr:rowOff>
    </xdr:to>
    <xdr:sp macro="" textlink="">
      <xdr:nvSpPr>
        <xdr:cNvPr id="67" name="Elipse 66">
          <a:extLst>
            <a:ext uri="{FF2B5EF4-FFF2-40B4-BE49-F238E27FC236}">
              <a16:creationId xmlns:a16="http://schemas.microsoft.com/office/drawing/2014/main" id="{00000000-0008-0000-0100-000043000000}"/>
            </a:ext>
          </a:extLst>
        </xdr:cNvPr>
        <xdr:cNvSpPr/>
      </xdr:nvSpPr>
      <xdr:spPr>
        <a:xfrm>
          <a:off x="1127760" y="7315200"/>
          <a:ext cx="510540" cy="54864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ES" sz="1100" b="1"/>
            <a:t>1</a:t>
          </a:r>
        </a:p>
      </xdr:txBody>
    </xdr:sp>
    <xdr:clientData/>
  </xdr:twoCellAnchor>
  <xdr:twoCellAnchor>
    <xdr:from>
      <xdr:col>4</xdr:col>
      <xdr:colOff>144780</xdr:colOff>
      <xdr:row>60</xdr:row>
      <xdr:rowOff>160020</xdr:rowOff>
    </xdr:from>
    <xdr:to>
      <xdr:col>6</xdr:col>
      <xdr:colOff>152400</xdr:colOff>
      <xdr:row>63</xdr:row>
      <xdr:rowOff>38100</xdr:rowOff>
    </xdr:to>
    <xdr:sp macro="" textlink="">
      <xdr:nvSpPr>
        <xdr:cNvPr id="68" name="Elipse 67">
          <a:extLst>
            <a:ext uri="{FF2B5EF4-FFF2-40B4-BE49-F238E27FC236}">
              <a16:creationId xmlns:a16="http://schemas.microsoft.com/office/drawing/2014/main" id="{00000000-0008-0000-0100-000044000000}"/>
            </a:ext>
          </a:extLst>
        </xdr:cNvPr>
        <xdr:cNvSpPr/>
      </xdr:nvSpPr>
      <xdr:spPr>
        <a:xfrm>
          <a:off x="1150620" y="7246620"/>
          <a:ext cx="510540" cy="563880"/>
        </a:xfrm>
        <a:prstGeom prst="ellipse">
          <a:avLst/>
        </a:prstGeom>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ES" sz="1100" b="1"/>
            <a:t>2</a:t>
          </a:r>
        </a:p>
      </xdr:txBody>
    </xdr:sp>
    <xdr:clientData/>
  </xdr:twoCellAnchor>
  <xdr:twoCellAnchor>
    <xdr:from>
      <xdr:col>4</xdr:col>
      <xdr:colOff>129540</xdr:colOff>
      <xdr:row>64</xdr:row>
      <xdr:rowOff>182880</xdr:rowOff>
    </xdr:from>
    <xdr:to>
      <xdr:col>6</xdr:col>
      <xdr:colOff>137160</xdr:colOff>
      <xdr:row>67</xdr:row>
      <xdr:rowOff>60960</xdr:rowOff>
    </xdr:to>
    <xdr:sp macro="" textlink="">
      <xdr:nvSpPr>
        <xdr:cNvPr id="69" name="Elipse 68">
          <a:extLst>
            <a:ext uri="{FF2B5EF4-FFF2-40B4-BE49-F238E27FC236}">
              <a16:creationId xmlns:a16="http://schemas.microsoft.com/office/drawing/2014/main" id="{00000000-0008-0000-0100-000045000000}"/>
            </a:ext>
          </a:extLst>
        </xdr:cNvPr>
        <xdr:cNvSpPr/>
      </xdr:nvSpPr>
      <xdr:spPr>
        <a:xfrm>
          <a:off x="1135380" y="8183880"/>
          <a:ext cx="510540" cy="563880"/>
        </a:xfrm>
        <a:prstGeom prst="ellips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lang="es-ES" sz="1100" b="1"/>
            <a:t>3</a:t>
          </a:r>
        </a:p>
      </xdr:txBody>
    </xdr:sp>
    <xdr:clientData/>
  </xdr:twoCellAnchor>
  <xdr:twoCellAnchor>
    <xdr:from>
      <xdr:col>4</xdr:col>
      <xdr:colOff>129540</xdr:colOff>
      <xdr:row>53</xdr:row>
      <xdr:rowOff>68580</xdr:rowOff>
    </xdr:from>
    <xdr:to>
      <xdr:col>6</xdr:col>
      <xdr:colOff>137160</xdr:colOff>
      <xdr:row>55</xdr:row>
      <xdr:rowOff>160020</xdr:rowOff>
    </xdr:to>
    <xdr:sp macro="" textlink="">
      <xdr:nvSpPr>
        <xdr:cNvPr id="70" name="Elipse 69">
          <a:extLst>
            <a:ext uri="{FF2B5EF4-FFF2-40B4-BE49-F238E27FC236}">
              <a16:creationId xmlns:a16="http://schemas.microsoft.com/office/drawing/2014/main" id="{00000000-0008-0000-0100-000046000000}"/>
            </a:ext>
          </a:extLst>
        </xdr:cNvPr>
        <xdr:cNvSpPr/>
      </xdr:nvSpPr>
      <xdr:spPr>
        <a:xfrm>
          <a:off x="1135380" y="6469380"/>
          <a:ext cx="510540" cy="548640"/>
        </a:xfrm>
        <a:prstGeom prst="ellipse">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es-ES" sz="1100" b="1"/>
            <a:t>LB</a:t>
          </a:r>
        </a:p>
      </xdr:txBody>
    </xdr:sp>
    <xdr:clientData/>
  </xdr:twoCellAnchor>
  <xdr:twoCellAnchor>
    <xdr:from>
      <xdr:col>7</xdr:col>
      <xdr:colOff>99060</xdr:colOff>
      <xdr:row>53</xdr:row>
      <xdr:rowOff>30480</xdr:rowOff>
    </xdr:from>
    <xdr:to>
      <xdr:col>50</xdr:col>
      <xdr:colOff>182880</xdr:colOff>
      <xdr:row>55</xdr:row>
      <xdr:rowOff>182880</xdr:rowOff>
    </xdr:to>
    <xdr:sp macro="" textlink="">
      <xdr:nvSpPr>
        <xdr:cNvPr id="71" name="Rectángulo 70">
          <a:extLst>
            <a:ext uri="{FF2B5EF4-FFF2-40B4-BE49-F238E27FC236}">
              <a16:creationId xmlns:a16="http://schemas.microsoft.com/office/drawing/2014/main" id="{00000000-0008-0000-0100-000047000000}"/>
            </a:ext>
          </a:extLst>
        </xdr:cNvPr>
        <xdr:cNvSpPr/>
      </xdr:nvSpPr>
      <xdr:spPr>
        <a:xfrm>
          <a:off x="1859280" y="10584180"/>
          <a:ext cx="10896600" cy="609600"/>
        </a:xfrm>
        <a:prstGeom prst="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ES" sz="1400" b="1" u="sng"/>
            <a:t>Línea</a:t>
          </a:r>
          <a:r>
            <a:rPr lang="es-ES" sz="1400" b="1" u="sng" baseline="0"/>
            <a:t> base: </a:t>
          </a:r>
          <a:r>
            <a:rPr lang="es-ES" sz="1400" b="1" u="none" baseline="0"/>
            <a:t>El prestador realiza </a:t>
          </a:r>
          <a:r>
            <a:rPr lang="es-ES" sz="1400" b="1" baseline="0"/>
            <a:t>la recolección de residuos reciclables y los dirige a un centro de acopio, que es operado por él mismo, allí se lleva a cabo la clasificación, embalaje y acopio.</a:t>
          </a:r>
          <a:endParaRPr lang="es-ES" sz="1400" b="1"/>
        </a:p>
      </xdr:txBody>
    </xdr:sp>
    <xdr:clientData/>
  </xdr:twoCellAnchor>
  <xdr:twoCellAnchor>
    <xdr:from>
      <xdr:col>7</xdr:col>
      <xdr:colOff>60960</xdr:colOff>
      <xdr:row>56</xdr:row>
      <xdr:rowOff>182880</xdr:rowOff>
    </xdr:from>
    <xdr:to>
      <xdr:col>50</xdr:col>
      <xdr:colOff>144780</xdr:colOff>
      <xdr:row>59</xdr:row>
      <xdr:rowOff>129540</xdr:rowOff>
    </xdr:to>
    <xdr:sp macro="" textlink="">
      <xdr:nvSpPr>
        <xdr:cNvPr id="72" name="Rectángulo 71">
          <a:extLst>
            <a:ext uri="{FF2B5EF4-FFF2-40B4-BE49-F238E27FC236}">
              <a16:creationId xmlns:a16="http://schemas.microsoft.com/office/drawing/2014/main" id="{00000000-0008-0000-0100-000048000000}"/>
            </a:ext>
          </a:extLst>
        </xdr:cNvPr>
        <xdr:cNvSpPr/>
      </xdr:nvSpPr>
      <xdr:spPr>
        <a:xfrm>
          <a:off x="1821180" y="11422380"/>
          <a:ext cx="10896600" cy="6324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400" b="1" u="sng" baseline="0">
              <a:solidFill>
                <a:sysClr val="windowText" lastClr="000000"/>
              </a:solidFill>
            </a:rPr>
            <a:t>Escenario 1: </a:t>
          </a:r>
          <a:r>
            <a:rPr lang="es-ES" sz="1400" b="1" u="none" baseline="0">
              <a:solidFill>
                <a:sysClr val="windowText" lastClr="000000"/>
              </a:solidFill>
            </a:rPr>
            <a:t> La organización de recicladores </a:t>
          </a:r>
          <a:r>
            <a:rPr lang="es-ES" sz="1400" b="1" baseline="0">
              <a:solidFill>
                <a:sysClr val="windowText" lastClr="000000"/>
              </a:solidFill>
            </a:rPr>
            <a:t>realiza la recolección de residuos reciclables y </a:t>
          </a:r>
          <a:r>
            <a:rPr lang="es-ES" sz="1400" b="1" baseline="0">
              <a:solidFill>
                <a:sysClr val="windowText" lastClr="000000"/>
              </a:solidFill>
              <a:effectLst/>
              <a:latin typeface="+mn-lt"/>
              <a:ea typeface="+mn-ea"/>
              <a:cs typeface="+mn-cs"/>
            </a:rPr>
            <a:t> los dirige a un centro de acopio, que es operado por el prestador, allí se lleva a cabo la clasificación, embalaje y acopio.</a:t>
          </a:r>
          <a:r>
            <a:rPr lang="es-ES" sz="1400" b="1" baseline="0">
              <a:solidFill>
                <a:schemeClr val="lt1"/>
              </a:solidFill>
              <a:effectLst/>
              <a:latin typeface="+mn-lt"/>
              <a:ea typeface="+mn-ea"/>
              <a:cs typeface="+mn-cs"/>
            </a:rPr>
            <a:t>y clasificación.</a:t>
          </a:r>
          <a:endParaRPr lang="es-ES" sz="1400" b="1"/>
        </a:p>
      </xdr:txBody>
    </xdr:sp>
    <xdr:clientData/>
  </xdr:twoCellAnchor>
  <xdr:twoCellAnchor>
    <xdr:from>
      <xdr:col>7</xdr:col>
      <xdr:colOff>91440</xdr:colOff>
      <xdr:row>60</xdr:row>
      <xdr:rowOff>220980</xdr:rowOff>
    </xdr:from>
    <xdr:to>
      <xdr:col>50</xdr:col>
      <xdr:colOff>175260</xdr:colOff>
      <xdr:row>63</xdr:row>
      <xdr:rowOff>144780</xdr:rowOff>
    </xdr:to>
    <xdr:sp macro="" textlink="">
      <xdr:nvSpPr>
        <xdr:cNvPr id="73" name="Rectángulo 72">
          <a:extLst>
            <a:ext uri="{FF2B5EF4-FFF2-40B4-BE49-F238E27FC236}">
              <a16:creationId xmlns:a16="http://schemas.microsoft.com/office/drawing/2014/main" id="{00000000-0008-0000-0100-000049000000}"/>
            </a:ext>
          </a:extLst>
        </xdr:cNvPr>
        <xdr:cNvSpPr/>
      </xdr:nvSpPr>
      <xdr:spPr>
        <a:xfrm>
          <a:off x="1851660" y="12374880"/>
          <a:ext cx="10896600" cy="609600"/>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ES" sz="1400" b="1" u="sng" baseline="0">
              <a:solidFill>
                <a:sysClr val="windowText" lastClr="000000"/>
              </a:solidFill>
            </a:rPr>
            <a:t>Escenario 2: </a:t>
          </a:r>
          <a:r>
            <a:rPr lang="es-ES" sz="1400" b="1" u="none" baseline="0">
              <a:solidFill>
                <a:sysClr val="windowText" lastClr="000000"/>
              </a:solidFill>
            </a:rPr>
            <a:t> El prestador </a:t>
          </a:r>
          <a:r>
            <a:rPr lang="es-ES" sz="1400" b="1" baseline="0">
              <a:solidFill>
                <a:sysClr val="windowText" lastClr="000000"/>
              </a:solidFill>
            </a:rPr>
            <a:t>realiza la recolección de residuos reciclables </a:t>
          </a:r>
          <a:r>
            <a:rPr lang="es-ES" sz="1400" b="1" baseline="0">
              <a:solidFill>
                <a:sysClr val="windowText" lastClr="000000"/>
              </a:solidFill>
              <a:effectLst/>
              <a:latin typeface="+mn-lt"/>
              <a:ea typeface="+mn-ea"/>
              <a:cs typeface="+mn-cs"/>
            </a:rPr>
            <a:t>y  los dirige a un centro de acopio, que es operado por la organización de recicladores, allí se lleva a cabo la clasificación, embalaje y acopio.</a:t>
          </a:r>
          <a:endParaRPr lang="es-ES" sz="1400" b="1">
            <a:solidFill>
              <a:sysClr val="windowText" lastClr="000000"/>
            </a:solidFill>
          </a:endParaRPr>
        </a:p>
      </xdr:txBody>
    </xdr:sp>
    <xdr:clientData/>
  </xdr:twoCellAnchor>
  <xdr:twoCellAnchor>
    <xdr:from>
      <xdr:col>1</xdr:col>
      <xdr:colOff>220980</xdr:colOff>
      <xdr:row>36</xdr:row>
      <xdr:rowOff>15240</xdr:rowOff>
    </xdr:from>
    <xdr:to>
      <xdr:col>3</xdr:col>
      <xdr:colOff>228600</xdr:colOff>
      <xdr:row>50</xdr:row>
      <xdr:rowOff>365760</xdr:rowOff>
    </xdr:to>
    <xdr:sp macro="" textlink="">
      <xdr:nvSpPr>
        <xdr:cNvPr id="74" name="Rectángulo 73">
          <a:extLst>
            <a:ext uri="{FF2B5EF4-FFF2-40B4-BE49-F238E27FC236}">
              <a16:creationId xmlns:a16="http://schemas.microsoft.com/office/drawing/2014/main" id="{00000000-0008-0000-0100-00004A000000}"/>
            </a:ext>
          </a:extLst>
        </xdr:cNvPr>
        <xdr:cNvSpPr/>
      </xdr:nvSpPr>
      <xdr:spPr>
        <a:xfrm>
          <a:off x="472440" y="6530340"/>
          <a:ext cx="510540" cy="24079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ES" sz="2000" b="1"/>
            <a:t>Actores</a:t>
          </a:r>
        </a:p>
      </xdr:txBody>
    </xdr:sp>
    <xdr:clientData/>
  </xdr:twoCellAnchor>
  <xdr:twoCellAnchor>
    <xdr:from>
      <xdr:col>4</xdr:col>
      <xdr:colOff>114300</xdr:colOff>
      <xdr:row>36</xdr:row>
      <xdr:rowOff>15240</xdr:rowOff>
    </xdr:from>
    <xdr:to>
      <xdr:col>8</xdr:col>
      <xdr:colOff>182880</xdr:colOff>
      <xdr:row>40</xdr:row>
      <xdr:rowOff>76200</xdr:rowOff>
    </xdr:to>
    <xdr:sp macro="" textlink="">
      <xdr:nvSpPr>
        <xdr:cNvPr id="78" name="Rectángulo 77">
          <a:extLst>
            <a:ext uri="{FF2B5EF4-FFF2-40B4-BE49-F238E27FC236}">
              <a16:creationId xmlns:a16="http://schemas.microsoft.com/office/drawing/2014/main" id="{00000000-0008-0000-0100-00004E000000}"/>
            </a:ext>
          </a:extLst>
        </xdr:cNvPr>
        <xdr:cNvSpPr/>
      </xdr:nvSpPr>
      <xdr:spPr>
        <a:xfrm>
          <a:off x="1120140" y="6530340"/>
          <a:ext cx="1074420" cy="97536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ES" sz="1200" b="1"/>
            <a:t>Organización de recicladores</a:t>
          </a:r>
          <a:r>
            <a:rPr lang="es-ES" sz="1200" b="1" baseline="0"/>
            <a:t> (Recicladores)</a:t>
          </a:r>
          <a:endParaRPr lang="es-ES" sz="1200" b="1"/>
        </a:p>
      </xdr:txBody>
    </xdr:sp>
    <xdr:clientData/>
  </xdr:twoCellAnchor>
  <xdr:twoCellAnchor>
    <xdr:from>
      <xdr:col>4</xdr:col>
      <xdr:colOff>121920</xdr:colOff>
      <xdr:row>41</xdr:row>
      <xdr:rowOff>30480</xdr:rowOff>
    </xdr:from>
    <xdr:to>
      <xdr:col>8</xdr:col>
      <xdr:colOff>190500</xdr:colOff>
      <xdr:row>45</xdr:row>
      <xdr:rowOff>144780</xdr:rowOff>
    </xdr:to>
    <xdr:sp macro="" textlink="">
      <xdr:nvSpPr>
        <xdr:cNvPr id="79" name="Rectángulo 78">
          <a:extLst>
            <a:ext uri="{FF2B5EF4-FFF2-40B4-BE49-F238E27FC236}">
              <a16:creationId xmlns:a16="http://schemas.microsoft.com/office/drawing/2014/main" id="{00000000-0008-0000-0100-00004F000000}"/>
            </a:ext>
          </a:extLst>
        </xdr:cNvPr>
        <xdr:cNvSpPr/>
      </xdr:nvSpPr>
      <xdr:spPr>
        <a:xfrm>
          <a:off x="1127760" y="7688580"/>
          <a:ext cx="1074420" cy="10287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Prestador de limpieza urbana </a:t>
          </a:r>
          <a:r>
            <a:rPr lang="es-ES" sz="1400" b="1" baseline="0"/>
            <a:t>(Prestador)</a:t>
          </a:r>
          <a:endParaRPr lang="es-ES" sz="1400" b="1"/>
        </a:p>
      </xdr:txBody>
    </xdr:sp>
    <xdr:clientData/>
  </xdr:twoCellAnchor>
  <xdr:twoCellAnchor>
    <xdr:from>
      <xdr:col>4</xdr:col>
      <xdr:colOff>83820</xdr:colOff>
      <xdr:row>46</xdr:row>
      <xdr:rowOff>129540</xdr:rowOff>
    </xdr:from>
    <xdr:to>
      <xdr:col>8</xdr:col>
      <xdr:colOff>152400</xdr:colOff>
      <xdr:row>50</xdr:row>
      <xdr:rowOff>152400</xdr:rowOff>
    </xdr:to>
    <xdr:sp macro="" textlink="">
      <xdr:nvSpPr>
        <xdr:cNvPr id="80" name="Rectángulo 79">
          <a:extLst>
            <a:ext uri="{FF2B5EF4-FFF2-40B4-BE49-F238E27FC236}">
              <a16:creationId xmlns:a16="http://schemas.microsoft.com/office/drawing/2014/main" id="{00000000-0008-0000-0100-000050000000}"/>
            </a:ext>
          </a:extLst>
        </xdr:cNvPr>
        <xdr:cNvSpPr/>
      </xdr:nvSpPr>
      <xdr:spPr>
        <a:xfrm>
          <a:off x="1089660" y="8930640"/>
          <a:ext cx="1074420" cy="93726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1400" b="1"/>
            <a:t>Municipio</a:t>
          </a:r>
        </a:p>
      </xdr:txBody>
    </xdr:sp>
    <xdr:clientData/>
  </xdr:twoCellAnchor>
  <xdr:twoCellAnchor>
    <xdr:from>
      <xdr:col>9</xdr:col>
      <xdr:colOff>68580</xdr:colOff>
      <xdr:row>36</xdr:row>
      <xdr:rowOff>22411</xdr:rowOff>
    </xdr:from>
    <xdr:to>
      <xdr:col>50</xdr:col>
      <xdr:colOff>213360</xdr:colOff>
      <xdr:row>40</xdr:row>
      <xdr:rowOff>121919</xdr:rowOff>
    </xdr:to>
    <xdr:sp macro="" textlink="">
      <xdr:nvSpPr>
        <xdr:cNvPr id="81" name="Rectángulo 80">
          <a:extLst>
            <a:ext uri="{FF2B5EF4-FFF2-40B4-BE49-F238E27FC236}">
              <a16:creationId xmlns:a16="http://schemas.microsoft.com/office/drawing/2014/main" id="{00000000-0008-0000-0100-000051000000}"/>
            </a:ext>
          </a:extLst>
        </xdr:cNvPr>
        <xdr:cNvSpPr/>
      </xdr:nvSpPr>
      <xdr:spPr>
        <a:xfrm>
          <a:off x="2287345" y="8359587"/>
          <a:ext cx="10252486" cy="995979"/>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100" b="1"/>
            <a:t>De acuerdo con cada escenario lleva a cabo la recolección y/o separación y clasificación</a:t>
          </a:r>
          <a:r>
            <a:rPr lang="es-ES" sz="1100" b="1" baseline="0"/>
            <a:t> de residuos reciclables. La recolección la puede llevar a cabo de dos formas </a:t>
          </a:r>
        </a:p>
        <a:p>
          <a:pPr algn="ctr"/>
          <a:r>
            <a:rPr lang="es-ES" sz="1100" b="1" baseline="0"/>
            <a:t>(i) Combinación de un equipo manual con camión, en la cual recolecta en cada vivienda con el equipo manual y lo dirige a un punto donde el camión lo recoge para transportarlo al centro de acopio </a:t>
          </a:r>
        </a:p>
        <a:p>
          <a:pPr algn="ctr"/>
          <a:r>
            <a:rPr lang="es-ES" sz="1100" b="1" baseline="0"/>
            <a:t>(ii) vehículos motorizados, recolecta en cada vivienda en el vehículo motirizado y una vez se llena se dirige en el mismo al centro de acopio</a:t>
          </a:r>
          <a:endParaRPr lang="es-ES" sz="1100" b="1"/>
        </a:p>
      </xdr:txBody>
    </xdr:sp>
    <xdr:clientData/>
  </xdr:twoCellAnchor>
  <xdr:twoCellAnchor>
    <xdr:from>
      <xdr:col>9</xdr:col>
      <xdr:colOff>71718</xdr:colOff>
      <xdr:row>41</xdr:row>
      <xdr:rowOff>38100</xdr:rowOff>
    </xdr:from>
    <xdr:to>
      <xdr:col>50</xdr:col>
      <xdr:colOff>216498</xdr:colOff>
      <xdr:row>45</xdr:row>
      <xdr:rowOff>137160</xdr:rowOff>
    </xdr:to>
    <xdr:sp macro="" textlink="">
      <xdr:nvSpPr>
        <xdr:cNvPr id="82" name="Rectángulo 81">
          <a:extLst>
            <a:ext uri="{FF2B5EF4-FFF2-40B4-BE49-F238E27FC236}">
              <a16:creationId xmlns:a16="http://schemas.microsoft.com/office/drawing/2014/main" id="{00000000-0008-0000-0100-000052000000}"/>
            </a:ext>
          </a:extLst>
        </xdr:cNvPr>
        <xdr:cNvSpPr/>
      </xdr:nvSpPr>
      <xdr:spPr>
        <a:xfrm>
          <a:off x="2290483" y="9495865"/>
          <a:ext cx="10252486" cy="99553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ES" sz="1200" b="1"/>
            <a:t>Es una empresa de limpieza urbana que</a:t>
          </a:r>
          <a:r>
            <a:rPr lang="es-ES" sz="1200" b="1" baseline="0"/>
            <a:t>, d</a:t>
          </a:r>
          <a:r>
            <a:rPr lang="es-ES" sz="1200" b="1"/>
            <a:t>e acuerdo con cada escenario lleva a cabo la recolección y/o separación y</a:t>
          </a:r>
          <a:r>
            <a:rPr lang="es-ES" sz="1200" b="1" baseline="0"/>
            <a:t> clasificación de materiales reciclables. La recolección la lleva a cabo únicamente en vehículos de tracción motor.</a:t>
          </a:r>
          <a:endParaRPr lang="es-ES" sz="1200" b="1"/>
        </a:p>
      </xdr:txBody>
    </xdr:sp>
    <xdr:clientData/>
  </xdr:twoCellAnchor>
  <xdr:twoCellAnchor>
    <xdr:from>
      <xdr:col>9</xdr:col>
      <xdr:colOff>7620</xdr:colOff>
      <xdr:row>46</xdr:row>
      <xdr:rowOff>114300</xdr:rowOff>
    </xdr:from>
    <xdr:to>
      <xdr:col>50</xdr:col>
      <xdr:colOff>152400</xdr:colOff>
      <xdr:row>50</xdr:row>
      <xdr:rowOff>137160</xdr:rowOff>
    </xdr:to>
    <xdr:sp macro="" textlink="">
      <xdr:nvSpPr>
        <xdr:cNvPr id="83" name="Rectángulo 82">
          <a:extLst>
            <a:ext uri="{FF2B5EF4-FFF2-40B4-BE49-F238E27FC236}">
              <a16:creationId xmlns:a16="http://schemas.microsoft.com/office/drawing/2014/main" id="{00000000-0008-0000-0100-000053000000}"/>
            </a:ext>
          </a:extLst>
        </xdr:cNvPr>
        <xdr:cNvSpPr/>
      </xdr:nvSpPr>
      <xdr:spPr>
        <a:xfrm>
          <a:off x="2270760" y="8915400"/>
          <a:ext cx="10454640" cy="93726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ES" sz="1200" b="1"/>
            <a:t>No lleva a cabo por su propia cuenta ninguna de las actividades, sin embargo aporta</a:t>
          </a:r>
          <a:r>
            <a:rPr lang="es-ES" sz="1200" b="1" baseline="0"/>
            <a:t> recursos a las organizaciones o a los prestadores para mejorar la rentabilidad o dar viabilidad a sus actividades.</a:t>
          </a:r>
          <a:endParaRPr lang="es-ES" sz="1200" b="1"/>
        </a:p>
      </xdr:txBody>
    </xdr:sp>
    <xdr:clientData/>
  </xdr:twoCellAnchor>
  <xdr:twoCellAnchor>
    <xdr:from>
      <xdr:col>7</xdr:col>
      <xdr:colOff>0</xdr:colOff>
      <xdr:row>65</xdr:row>
      <xdr:rowOff>0</xdr:rowOff>
    </xdr:from>
    <xdr:to>
      <xdr:col>50</xdr:col>
      <xdr:colOff>83820</xdr:colOff>
      <xdr:row>67</xdr:row>
      <xdr:rowOff>114300</xdr:rowOff>
    </xdr:to>
    <xdr:sp macro="" textlink="">
      <xdr:nvSpPr>
        <xdr:cNvPr id="85" name="Rectángulo 84">
          <a:extLst>
            <a:ext uri="{FF2B5EF4-FFF2-40B4-BE49-F238E27FC236}">
              <a16:creationId xmlns:a16="http://schemas.microsoft.com/office/drawing/2014/main" id="{00000000-0008-0000-0100-000055000000}"/>
            </a:ext>
          </a:extLst>
        </xdr:cNvPr>
        <xdr:cNvSpPr/>
      </xdr:nvSpPr>
      <xdr:spPr>
        <a:xfrm>
          <a:off x="1760220" y="13296900"/>
          <a:ext cx="10896600" cy="5715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ES" sz="1400" b="1" u="sng" baseline="0">
              <a:solidFill>
                <a:sysClr val="windowText" lastClr="000000"/>
              </a:solidFill>
            </a:rPr>
            <a:t>Escenario 3: </a:t>
          </a:r>
          <a:r>
            <a:rPr lang="es-ES" sz="1400" b="1" baseline="0">
              <a:solidFill>
                <a:sysClr val="windowText" lastClr="000000"/>
              </a:solidFill>
              <a:effectLst/>
              <a:latin typeface="+mn-lt"/>
              <a:ea typeface="+mn-ea"/>
              <a:cs typeface="+mn-cs"/>
            </a:rPr>
            <a:t> La organización de recicladores realiza la recolección de residuos reciclables y los dirige a un centro de acopio, que es operado por ella misma, allí se lleva a cabo la clasificación, embalaje y acopio.</a:t>
          </a:r>
          <a:r>
            <a:rPr lang="es-ES" sz="1400" b="1" u="sng" baseline="0">
              <a:solidFill>
                <a:sysClr val="windowText" lastClr="000000"/>
              </a:solidFill>
            </a:rPr>
            <a:t> </a:t>
          </a:r>
          <a:endParaRPr lang="es-ES" sz="1400" b="1">
            <a:solidFill>
              <a:sysClr val="windowText" lastClr="000000"/>
            </a:solidFill>
          </a:endParaRPr>
        </a:p>
      </xdr:txBody>
    </xdr:sp>
    <xdr:clientData/>
  </xdr:twoCellAnchor>
  <xdr:twoCellAnchor>
    <xdr:from>
      <xdr:col>6</xdr:col>
      <xdr:colOff>213360</xdr:colOff>
      <xdr:row>178</xdr:row>
      <xdr:rowOff>106680</xdr:rowOff>
    </xdr:from>
    <xdr:to>
      <xdr:col>52</xdr:col>
      <xdr:colOff>76200</xdr:colOff>
      <xdr:row>180</xdr:row>
      <xdr:rowOff>38100</xdr:rowOff>
    </xdr:to>
    <xdr:sp macro="" textlink="">
      <xdr:nvSpPr>
        <xdr:cNvPr id="86" name="Rectángulo 85">
          <a:extLst>
            <a:ext uri="{FF2B5EF4-FFF2-40B4-BE49-F238E27FC236}">
              <a16:creationId xmlns:a16="http://schemas.microsoft.com/office/drawing/2014/main" id="{00000000-0008-0000-0100-000056000000}"/>
            </a:ext>
          </a:extLst>
        </xdr:cNvPr>
        <xdr:cNvSpPr/>
      </xdr:nvSpPr>
      <xdr:spPr>
        <a:xfrm>
          <a:off x="1722120" y="36492180"/>
          <a:ext cx="11430000" cy="3886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Diligenciar la información</a:t>
          </a:r>
        </a:p>
      </xdr:txBody>
    </xdr:sp>
    <xdr:clientData/>
  </xdr:twoCellAnchor>
  <xdr:twoCellAnchor>
    <xdr:from>
      <xdr:col>7</xdr:col>
      <xdr:colOff>167640</xdr:colOff>
      <xdr:row>244</xdr:row>
      <xdr:rowOff>7620</xdr:rowOff>
    </xdr:from>
    <xdr:to>
      <xdr:col>53</xdr:col>
      <xdr:colOff>30480</xdr:colOff>
      <xdr:row>246</xdr:row>
      <xdr:rowOff>220980</xdr:rowOff>
    </xdr:to>
    <xdr:sp macro="" textlink="">
      <xdr:nvSpPr>
        <xdr:cNvPr id="87" name="Rectángulo 86">
          <a:extLst>
            <a:ext uri="{FF2B5EF4-FFF2-40B4-BE49-F238E27FC236}">
              <a16:creationId xmlns:a16="http://schemas.microsoft.com/office/drawing/2014/main" id="{00000000-0008-0000-0100-000057000000}"/>
            </a:ext>
          </a:extLst>
        </xdr:cNvPr>
        <xdr:cNvSpPr/>
      </xdr:nvSpPr>
      <xdr:spPr>
        <a:xfrm>
          <a:off x="1927860" y="60822840"/>
          <a:ext cx="11430000" cy="67056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1400" b="1"/>
            <a:t>De acuerdo con los escenarios</a:t>
          </a:r>
          <a:r>
            <a:rPr lang="es-ES" sz="1400" b="1" baseline="0"/>
            <a:t> seleccionados, usted deberá diligenciar la información como se muestra en la siguiente tabla (dé clic para ir a cada sección):</a:t>
          </a:r>
          <a:endParaRPr lang="es-ES" sz="1400" b="1"/>
        </a:p>
      </xdr:txBody>
    </xdr:sp>
    <xdr:clientData/>
  </xdr:twoCellAnchor>
  <xdr:twoCellAnchor>
    <xdr:from>
      <xdr:col>2</xdr:col>
      <xdr:colOff>243840</xdr:colOff>
      <xdr:row>181</xdr:row>
      <xdr:rowOff>106680</xdr:rowOff>
    </xdr:from>
    <xdr:to>
      <xdr:col>5</xdr:col>
      <xdr:colOff>129540</xdr:colOff>
      <xdr:row>184</xdr:row>
      <xdr:rowOff>7620</xdr:rowOff>
    </xdr:to>
    <xdr:sp macro="" textlink="">
      <xdr:nvSpPr>
        <xdr:cNvPr id="84" name="Elipse 83">
          <a:extLst>
            <a:ext uri="{FF2B5EF4-FFF2-40B4-BE49-F238E27FC236}">
              <a16:creationId xmlns:a16="http://schemas.microsoft.com/office/drawing/2014/main" id="{00000000-0008-0000-0100-000054000000}"/>
            </a:ext>
          </a:extLst>
        </xdr:cNvPr>
        <xdr:cNvSpPr/>
      </xdr:nvSpPr>
      <xdr:spPr>
        <a:xfrm>
          <a:off x="746760" y="37177980"/>
          <a:ext cx="640080" cy="5867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t>2.1</a:t>
          </a:r>
        </a:p>
      </xdr:txBody>
    </xdr:sp>
    <xdr:clientData/>
  </xdr:twoCellAnchor>
  <xdr:twoCellAnchor>
    <xdr:from>
      <xdr:col>6</xdr:col>
      <xdr:colOff>220980</xdr:colOff>
      <xdr:row>181</xdr:row>
      <xdr:rowOff>129540</xdr:rowOff>
    </xdr:from>
    <xdr:to>
      <xdr:col>52</xdr:col>
      <xdr:colOff>83820</xdr:colOff>
      <xdr:row>183</xdr:row>
      <xdr:rowOff>60960</xdr:rowOff>
    </xdr:to>
    <xdr:sp macro="" textlink="">
      <xdr:nvSpPr>
        <xdr:cNvPr id="88" name="Rectángulo 87">
          <a:extLst>
            <a:ext uri="{FF2B5EF4-FFF2-40B4-BE49-F238E27FC236}">
              <a16:creationId xmlns:a16="http://schemas.microsoft.com/office/drawing/2014/main" id="{00000000-0008-0000-0100-000058000000}"/>
            </a:ext>
          </a:extLst>
        </xdr:cNvPr>
        <xdr:cNvSpPr/>
      </xdr:nvSpPr>
      <xdr:spPr>
        <a:xfrm>
          <a:off x="1729740" y="37200840"/>
          <a:ext cx="11430000" cy="3886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Seleccione</a:t>
          </a:r>
          <a:r>
            <a:rPr lang="es-ES" sz="1400" b="1" baseline="0"/>
            <a:t> opciones o diligencie información según los formatos que se muestran a continuación</a:t>
          </a:r>
          <a:endParaRPr lang="es-ES" sz="1400" b="1"/>
        </a:p>
      </xdr:txBody>
    </xdr:sp>
    <xdr:clientData/>
  </xdr:twoCellAnchor>
  <xdr:twoCellAnchor>
    <xdr:from>
      <xdr:col>6</xdr:col>
      <xdr:colOff>213360</xdr:colOff>
      <xdr:row>185</xdr:row>
      <xdr:rowOff>144780</xdr:rowOff>
    </xdr:from>
    <xdr:to>
      <xdr:col>52</xdr:col>
      <xdr:colOff>76200</xdr:colOff>
      <xdr:row>189</xdr:row>
      <xdr:rowOff>0</xdr:rowOff>
    </xdr:to>
    <xdr:sp macro="" textlink="">
      <xdr:nvSpPr>
        <xdr:cNvPr id="89" name="Rectángulo 88">
          <a:extLst>
            <a:ext uri="{FF2B5EF4-FFF2-40B4-BE49-F238E27FC236}">
              <a16:creationId xmlns:a16="http://schemas.microsoft.com/office/drawing/2014/main" id="{00000000-0008-0000-0100-000059000000}"/>
            </a:ext>
          </a:extLst>
        </xdr:cNvPr>
        <xdr:cNvSpPr/>
      </xdr:nvSpPr>
      <xdr:spPr>
        <a:xfrm>
          <a:off x="1722120" y="44264580"/>
          <a:ext cx="11430000" cy="76962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1400" b="1"/>
            <a:t>Formato 1: Seleccionar varias opciones.</a:t>
          </a:r>
          <a:r>
            <a:rPr lang="es-ES" sz="1400" b="1" baseline="0"/>
            <a:t> Dar clic dentro de la casilla para seleccionar una o varias opciones. A continuación se muestra el ejemplo en el que usted debe seleccionar qué escenarios quiere modelar:</a:t>
          </a:r>
          <a:endParaRPr lang="es-ES" sz="1400" b="1"/>
        </a:p>
      </xdr:txBody>
    </xdr:sp>
    <xdr:clientData/>
  </xdr:twoCellAnchor>
  <xdr:twoCellAnchor editAs="oneCell">
    <xdr:from>
      <xdr:col>6</xdr:col>
      <xdr:colOff>228600</xdr:colOff>
      <xdr:row>191</xdr:row>
      <xdr:rowOff>190500</xdr:rowOff>
    </xdr:from>
    <xdr:to>
      <xdr:col>45</xdr:col>
      <xdr:colOff>27940</xdr:colOff>
      <xdr:row>195</xdr:row>
      <xdr:rowOff>144780</xdr:rowOff>
    </xdr:to>
    <xdr:pic>
      <xdr:nvPicPr>
        <xdr:cNvPr id="92" name="Imagen 91">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37360" y="39319200"/>
          <a:ext cx="9669780" cy="868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91440</xdr:colOff>
      <xdr:row>192</xdr:row>
      <xdr:rowOff>144780</xdr:rowOff>
    </xdr:from>
    <xdr:to>
      <xdr:col>26</xdr:col>
      <xdr:colOff>152400</xdr:colOff>
      <xdr:row>193</xdr:row>
      <xdr:rowOff>198120</xdr:rowOff>
    </xdr:to>
    <xdr:sp macro="" textlink="">
      <xdr:nvSpPr>
        <xdr:cNvPr id="23" name="Elipse 22">
          <a:extLst>
            <a:ext uri="{FF2B5EF4-FFF2-40B4-BE49-F238E27FC236}">
              <a16:creationId xmlns:a16="http://schemas.microsoft.com/office/drawing/2014/main" id="{00000000-0008-0000-0100-000017000000}"/>
            </a:ext>
          </a:extLst>
        </xdr:cNvPr>
        <xdr:cNvSpPr/>
      </xdr:nvSpPr>
      <xdr:spPr>
        <a:xfrm>
          <a:off x="6377940" y="39502080"/>
          <a:ext cx="312420" cy="2819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175260</xdr:colOff>
      <xdr:row>192</xdr:row>
      <xdr:rowOff>137160</xdr:rowOff>
    </xdr:from>
    <xdr:to>
      <xdr:col>19</xdr:col>
      <xdr:colOff>236220</xdr:colOff>
      <xdr:row>193</xdr:row>
      <xdr:rowOff>190500</xdr:rowOff>
    </xdr:to>
    <xdr:sp macro="" textlink="">
      <xdr:nvSpPr>
        <xdr:cNvPr id="93" name="Elipse 92">
          <a:extLst>
            <a:ext uri="{FF2B5EF4-FFF2-40B4-BE49-F238E27FC236}">
              <a16:creationId xmlns:a16="http://schemas.microsoft.com/office/drawing/2014/main" id="{00000000-0008-0000-0100-00005D000000}"/>
            </a:ext>
          </a:extLst>
        </xdr:cNvPr>
        <xdr:cNvSpPr/>
      </xdr:nvSpPr>
      <xdr:spPr>
        <a:xfrm>
          <a:off x="4701540" y="39494460"/>
          <a:ext cx="312420" cy="2819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41</xdr:col>
      <xdr:colOff>30480</xdr:colOff>
      <xdr:row>192</xdr:row>
      <xdr:rowOff>152400</xdr:rowOff>
    </xdr:from>
    <xdr:to>
      <xdr:col>42</xdr:col>
      <xdr:colOff>91440</xdr:colOff>
      <xdr:row>193</xdr:row>
      <xdr:rowOff>205740</xdr:rowOff>
    </xdr:to>
    <xdr:sp macro="" textlink="">
      <xdr:nvSpPr>
        <xdr:cNvPr id="94" name="Elipse 93">
          <a:extLst>
            <a:ext uri="{FF2B5EF4-FFF2-40B4-BE49-F238E27FC236}">
              <a16:creationId xmlns:a16="http://schemas.microsoft.com/office/drawing/2014/main" id="{00000000-0008-0000-0100-00005E000000}"/>
            </a:ext>
          </a:extLst>
        </xdr:cNvPr>
        <xdr:cNvSpPr/>
      </xdr:nvSpPr>
      <xdr:spPr>
        <a:xfrm>
          <a:off x="10340340" y="39509700"/>
          <a:ext cx="312420" cy="2819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38100</xdr:colOff>
      <xdr:row>192</xdr:row>
      <xdr:rowOff>144780</xdr:rowOff>
    </xdr:from>
    <xdr:to>
      <xdr:col>34</xdr:col>
      <xdr:colOff>99060</xdr:colOff>
      <xdr:row>193</xdr:row>
      <xdr:rowOff>198120</xdr:rowOff>
    </xdr:to>
    <xdr:sp macro="" textlink="">
      <xdr:nvSpPr>
        <xdr:cNvPr id="95" name="Elipse 94">
          <a:extLst>
            <a:ext uri="{FF2B5EF4-FFF2-40B4-BE49-F238E27FC236}">
              <a16:creationId xmlns:a16="http://schemas.microsoft.com/office/drawing/2014/main" id="{00000000-0008-0000-0100-00005F000000}"/>
            </a:ext>
          </a:extLst>
        </xdr:cNvPr>
        <xdr:cNvSpPr/>
      </xdr:nvSpPr>
      <xdr:spPr>
        <a:xfrm>
          <a:off x="8336280" y="39502080"/>
          <a:ext cx="312420" cy="2819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121920</xdr:colOff>
      <xdr:row>197</xdr:row>
      <xdr:rowOff>335280</xdr:rowOff>
    </xdr:from>
    <xdr:to>
      <xdr:col>51</xdr:col>
      <xdr:colOff>236220</xdr:colOff>
      <xdr:row>199</xdr:row>
      <xdr:rowOff>198120</xdr:rowOff>
    </xdr:to>
    <xdr:sp macro="" textlink="">
      <xdr:nvSpPr>
        <xdr:cNvPr id="96" name="Rectángulo 95">
          <a:extLst>
            <a:ext uri="{FF2B5EF4-FFF2-40B4-BE49-F238E27FC236}">
              <a16:creationId xmlns:a16="http://schemas.microsoft.com/office/drawing/2014/main" id="{00000000-0008-0000-0100-000060000000}"/>
            </a:ext>
          </a:extLst>
        </xdr:cNvPr>
        <xdr:cNvSpPr/>
      </xdr:nvSpPr>
      <xdr:spPr>
        <a:xfrm>
          <a:off x="1630680" y="41010840"/>
          <a:ext cx="11430000" cy="67056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1400" b="1"/>
            <a:t>Formato 2: Seleccionar una sóla opción. Dar clic dentro</a:t>
          </a:r>
          <a:r>
            <a:rPr lang="es-ES" sz="1400" b="1" baseline="0"/>
            <a:t> de la casilla para seleccionar una de las opciones mencionadas. A continuación se muestra el ejemplo en el que usted debe seleccionar la fuente de los recursos de distintos equipos de transporte: </a:t>
          </a:r>
          <a:endParaRPr lang="es-ES" sz="1400" b="1"/>
        </a:p>
      </xdr:txBody>
    </xdr:sp>
    <xdr:clientData/>
  </xdr:twoCellAnchor>
  <xdr:twoCellAnchor>
    <xdr:from>
      <xdr:col>46</xdr:col>
      <xdr:colOff>30480</xdr:colOff>
      <xdr:row>190</xdr:row>
      <xdr:rowOff>0</xdr:rowOff>
    </xdr:from>
    <xdr:to>
      <xdr:col>54</xdr:col>
      <xdr:colOff>45720</xdr:colOff>
      <xdr:row>196</xdr:row>
      <xdr:rowOff>251460</xdr:rowOff>
    </xdr:to>
    <xdr:sp macro="" textlink="">
      <xdr:nvSpPr>
        <xdr:cNvPr id="50" name="Bocadillo: ovalado 49">
          <a:extLst>
            <a:ext uri="{FF2B5EF4-FFF2-40B4-BE49-F238E27FC236}">
              <a16:creationId xmlns:a16="http://schemas.microsoft.com/office/drawing/2014/main" id="{00000000-0008-0000-0100-000032000000}"/>
            </a:ext>
          </a:extLst>
        </xdr:cNvPr>
        <xdr:cNvSpPr/>
      </xdr:nvSpPr>
      <xdr:spPr>
        <a:xfrm>
          <a:off x="11597640" y="38900100"/>
          <a:ext cx="2026920" cy="1623060"/>
        </a:xfrm>
        <a:prstGeom prst="wedgeEllipseCallout">
          <a:avLst>
            <a:gd name="adj1" fmla="val -55642"/>
            <a:gd name="adj2" fmla="val 254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100" b="1"/>
            <a:t>En este caso el usuario quiere modelar los escenarios:</a:t>
          </a:r>
          <a:r>
            <a:rPr lang="es-ES" sz="1100" b="1" baseline="0"/>
            <a:t> Linea base, escenario 2 y escenario 3.</a:t>
          </a:r>
          <a:endParaRPr lang="es-ES" sz="1100" b="1"/>
        </a:p>
      </xdr:txBody>
    </xdr:sp>
    <xdr:clientData/>
  </xdr:twoCellAnchor>
  <xdr:twoCellAnchor>
    <xdr:from>
      <xdr:col>41</xdr:col>
      <xdr:colOff>175260</xdr:colOff>
      <xdr:row>200</xdr:row>
      <xdr:rowOff>342900</xdr:rowOff>
    </xdr:from>
    <xdr:to>
      <xdr:col>54</xdr:col>
      <xdr:colOff>190500</xdr:colOff>
      <xdr:row>205</xdr:row>
      <xdr:rowOff>304800</xdr:rowOff>
    </xdr:to>
    <xdr:sp macro="" textlink="">
      <xdr:nvSpPr>
        <xdr:cNvPr id="99" name="Bocadillo: ovalado 98">
          <a:extLst>
            <a:ext uri="{FF2B5EF4-FFF2-40B4-BE49-F238E27FC236}">
              <a16:creationId xmlns:a16="http://schemas.microsoft.com/office/drawing/2014/main" id="{00000000-0008-0000-0100-000063000000}"/>
            </a:ext>
          </a:extLst>
        </xdr:cNvPr>
        <xdr:cNvSpPr/>
      </xdr:nvSpPr>
      <xdr:spPr>
        <a:xfrm>
          <a:off x="10485120" y="42230040"/>
          <a:ext cx="3284220" cy="1981200"/>
        </a:xfrm>
        <a:prstGeom prst="wedgeEllipseCallout">
          <a:avLst>
            <a:gd name="adj1" fmla="val -57146"/>
            <a:gd name="adj2" fmla="val 710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200" b="1"/>
            <a:t>El</a:t>
          </a:r>
          <a:r>
            <a:rPr lang="es-ES" sz="1200" b="1" baseline="0"/>
            <a:t> usuario indica qu el vehículo motorizado pequeño fue aportado por los recicladores, el vehículo motorizado mediano por el prestador del servicio de limpieza urbana y el equipo de tracción manual por el municipio. </a:t>
          </a:r>
          <a:endParaRPr lang="es-ES" sz="1200" b="1"/>
        </a:p>
      </xdr:txBody>
    </xdr:sp>
    <xdr:clientData/>
  </xdr:twoCellAnchor>
  <xdr:twoCellAnchor editAs="oneCell">
    <xdr:from>
      <xdr:col>6</xdr:col>
      <xdr:colOff>144780</xdr:colOff>
      <xdr:row>202</xdr:row>
      <xdr:rowOff>76200</xdr:rowOff>
    </xdr:from>
    <xdr:to>
      <xdr:col>39</xdr:col>
      <xdr:colOff>236220</xdr:colOff>
      <xdr:row>205</xdr:row>
      <xdr:rowOff>167640</xdr:rowOff>
    </xdr:to>
    <xdr:pic>
      <xdr:nvPicPr>
        <xdr:cNvPr id="100" name="Imagen 99">
          <a:extLst>
            <a:ext uri="{FF2B5EF4-FFF2-40B4-BE49-F238E27FC236}">
              <a16:creationId xmlns:a16="http://schemas.microsoft.com/office/drawing/2014/main" id="{00000000-0008-0000-0100-000064000000}"/>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b="16176"/>
        <a:stretch/>
      </xdr:blipFill>
      <xdr:spPr bwMode="auto">
        <a:xfrm>
          <a:off x="1653540" y="42771060"/>
          <a:ext cx="8450580" cy="1303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91440</xdr:colOff>
      <xdr:row>208</xdr:row>
      <xdr:rowOff>38100</xdr:rowOff>
    </xdr:from>
    <xdr:to>
      <xdr:col>51</xdr:col>
      <xdr:colOff>205740</xdr:colOff>
      <xdr:row>209</xdr:row>
      <xdr:rowOff>304800</xdr:rowOff>
    </xdr:to>
    <xdr:sp macro="" textlink="">
      <xdr:nvSpPr>
        <xdr:cNvPr id="104" name="Rectángulo 103">
          <a:extLst>
            <a:ext uri="{FF2B5EF4-FFF2-40B4-BE49-F238E27FC236}">
              <a16:creationId xmlns:a16="http://schemas.microsoft.com/office/drawing/2014/main" id="{00000000-0008-0000-0100-000068000000}"/>
            </a:ext>
          </a:extLst>
        </xdr:cNvPr>
        <xdr:cNvSpPr/>
      </xdr:nvSpPr>
      <xdr:spPr>
        <a:xfrm>
          <a:off x="1600200" y="45156120"/>
          <a:ext cx="11430000" cy="67056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1400" b="1"/>
            <a:t>Formato 3: Elegir de una lista desplegable.  Dé</a:t>
          </a:r>
          <a:r>
            <a:rPr lang="es-ES" sz="1400" b="1" baseline="0"/>
            <a:t> clic en la flecha en el costado de la derecha en la que existen listas desplegables y seleccione la opción deseada.</a:t>
          </a:r>
          <a:endParaRPr lang="es-ES" sz="1400" b="1"/>
        </a:p>
      </xdr:txBody>
    </xdr:sp>
    <xdr:clientData/>
  </xdr:twoCellAnchor>
  <xdr:twoCellAnchor editAs="oneCell">
    <xdr:from>
      <xdr:col>6</xdr:col>
      <xdr:colOff>160020</xdr:colOff>
      <xdr:row>212</xdr:row>
      <xdr:rowOff>91440</xdr:rowOff>
    </xdr:from>
    <xdr:to>
      <xdr:col>39</xdr:col>
      <xdr:colOff>43180</xdr:colOff>
      <xdr:row>215</xdr:row>
      <xdr:rowOff>91440</xdr:rowOff>
    </xdr:to>
    <xdr:pic>
      <xdr:nvPicPr>
        <xdr:cNvPr id="57" name="Imagen 56">
          <a:extLst>
            <a:ext uri="{FF2B5EF4-FFF2-40B4-BE49-F238E27FC236}">
              <a16:creationId xmlns:a16="http://schemas.microsoft.com/office/drawing/2014/main" id="{00000000-0008-0000-0100-000039000000}"/>
            </a:ext>
          </a:extLst>
        </xdr:cNvPr>
        <xdr:cNvPicPr>
          <a:picLocks noChangeAspect="1"/>
        </xdr:cNvPicPr>
      </xdr:nvPicPr>
      <xdr:blipFill rotWithShape="1">
        <a:blip xmlns:r="http://schemas.openxmlformats.org/officeDocument/2006/relationships" r:embed="rId11"/>
        <a:srcRect l="7417" t="57266" r="47493" b="30955"/>
        <a:stretch/>
      </xdr:blipFill>
      <xdr:spPr>
        <a:xfrm>
          <a:off x="1668780" y="46824900"/>
          <a:ext cx="8244840" cy="1211580"/>
        </a:xfrm>
        <a:prstGeom prst="rect">
          <a:avLst/>
        </a:prstGeom>
      </xdr:spPr>
    </xdr:pic>
    <xdr:clientData/>
  </xdr:twoCellAnchor>
  <xdr:twoCellAnchor>
    <xdr:from>
      <xdr:col>6</xdr:col>
      <xdr:colOff>22860</xdr:colOff>
      <xdr:row>214</xdr:row>
      <xdr:rowOff>220980</xdr:rowOff>
    </xdr:from>
    <xdr:to>
      <xdr:col>20</xdr:col>
      <xdr:colOff>152400</xdr:colOff>
      <xdr:row>215</xdr:row>
      <xdr:rowOff>7620</xdr:rowOff>
    </xdr:to>
    <xdr:sp macro="" textlink="">
      <xdr:nvSpPr>
        <xdr:cNvPr id="65" name="Rectángulo 64">
          <a:extLst>
            <a:ext uri="{FF2B5EF4-FFF2-40B4-BE49-F238E27FC236}">
              <a16:creationId xmlns:a16="http://schemas.microsoft.com/office/drawing/2014/main" id="{00000000-0008-0000-0100-000041000000}"/>
            </a:ext>
          </a:extLst>
        </xdr:cNvPr>
        <xdr:cNvSpPr/>
      </xdr:nvSpPr>
      <xdr:spPr>
        <a:xfrm>
          <a:off x="1531620" y="47762160"/>
          <a:ext cx="3649980"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236220</xdr:colOff>
      <xdr:row>210</xdr:row>
      <xdr:rowOff>320040</xdr:rowOff>
    </xdr:from>
    <xdr:to>
      <xdr:col>54</xdr:col>
      <xdr:colOff>0</xdr:colOff>
      <xdr:row>215</xdr:row>
      <xdr:rowOff>281940</xdr:rowOff>
    </xdr:to>
    <xdr:sp macro="" textlink="">
      <xdr:nvSpPr>
        <xdr:cNvPr id="105" name="Bocadillo: ovalado 104">
          <a:extLst>
            <a:ext uri="{FF2B5EF4-FFF2-40B4-BE49-F238E27FC236}">
              <a16:creationId xmlns:a16="http://schemas.microsoft.com/office/drawing/2014/main" id="{00000000-0008-0000-0100-000069000000}"/>
            </a:ext>
          </a:extLst>
        </xdr:cNvPr>
        <xdr:cNvSpPr/>
      </xdr:nvSpPr>
      <xdr:spPr>
        <a:xfrm>
          <a:off x="10294620" y="46245780"/>
          <a:ext cx="3284220" cy="1981200"/>
        </a:xfrm>
        <a:prstGeom prst="wedgeEllipseCallout">
          <a:avLst>
            <a:gd name="adj1" fmla="val -57146"/>
            <a:gd name="adj2" fmla="val 210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200" b="1"/>
            <a:t>El</a:t>
          </a:r>
          <a:r>
            <a:rPr lang="es-ES" sz="1200" b="1" baseline="0"/>
            <a:t> usuario quiere seleccionar el tipo de recolección que corresponde a combinación de equipo de tracción manual con camión. </a:t>
          </a:r>
          <a:endParaRPr lang="es-ES" sz="1200" b="1"/>
        </a:p>
      </xdr:txBody>
    </xdr:sp>
    <xdr:clientData/>
  </xdr:twoCellAnchor>
  <xdr:twoCellAnchor>
    <xdr:from>
      <xdr:col>6</xdr:col>
      <xdr:colOff>114300</xdr:colOff>
      <xdr:row>219</xdr:row>
      <xdr:rowOff>30480</xdr:rowOff>
    </xdr:from>
    <xdr:to>
      <xdr:col>51</xdr:col>
      <xdr:colOff>228600</xdr:colOff>
      <xdr:row>222</xdr:row>
      <xdr:rowOff>137160</xdr:rowOff>
    </xdr:to>
    <xdr:sp macro="" textlink="">
      <xdr:nvSpPr>
        <xdr:cNvPr id="106" name="Rectángulo 105">
          <a:extLst>
            <a:ext uri="{FF2B5EF4-FFF2-40B4-BE49-F238E27FC236}">
              <a16:creationId xmlns:a16="http://schemas.microsoft.com/office/drawing/2014/main" id="{00000000-0008-0000-0100-00006A000000}"/>
            </a:ext>
          </a:extLst>
        </xdr:cNvPr>
        <xdr:cNvSpPr/>
      </xdr:nvSpPr>
      <xdr:spPr>
        <a:xfrm>
          <a:off x="1623060" y="55603140"/>
          <a:ext cx="11430000" cy="79248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1400" b="1"/>
            <a:t>Formato 3: Digitar información en celdas grises.</a:t>
          </a:r>
          <a:r>
            <a:rPr lang="es-ES" sz="1400" b="1" baseline="0"/>
            <a:t> Dé clic sobre las celdas grises e indique las cantidades o valores que se solicitan según el texto. En los casos que lo amerita, la celda gris está acompañada al lado derecho por un dato de referencia. Los datos de referencia son los valores que el modelo incluye y que el usuario puede tomar como opcionales, con estos valores se asume que se está calculando una situación eficiente. </a:t>
          </a:r>
          <a:endParaRPr lang="es-ES" sz="1400" b="1"/>
        </a:p>
      </xdr:txBody>
    </xdr:sp>
    <xdr:clientData/>
  </xdr:twoCellAnchor>
  <xdr:twoCellAnchor>
    <xdr:from>
      <xdr:col>36</xdr:col>
      <xdr:colOff>60960</xdr:colOff>
      <xdr:row>224</xdr:row>
      <xdr:rowOff>99060</xdr:rowOff>
    </xdr:from>
    <xdr:to>
      <xdr:col>49</xdr:col>
      <xdr:colOff>76200</xdr:colOff>
      <xdr:row>233</xdr:row>
      <xdr:rowOff>22860</xdr:rowOff>
    </xdr:to>
    <xdr:sp macro="" textlink="">
      <xdr:nvSpPr>
        <xdr:cNvPr id="109" name="Bocadillo: ovalado 108">
          <a:extLst>
            <a:ext uri="{FF2B5EF4-FFF2-40B4-BE49-F238E27FC236}">
              <a16:creationId xmlns:a16="http://schemas.microsoft.com/office/drawing/2014/main" id="{00000000-0008-0000-0100-00006D000000}"/>
            </a:ext>
          </a:extLst>
        </xdr:cNvPr>
        <xdr:cNvSpPr/>
      </xdr:nvSpPr>
      <xdr:spPr>
        <a:xfrm>
          <a:off x="9113520" y="56814720"/>
          <a:ext cx="3284220" cy="1981200"/>
        </a:xfrm>
        <a:prstGeom prst="wedgeEllipseCallout">
          <a:avLst>
            <a:gd name="adj1" fmla="val -62946"/>
            <a:gd name="adj2" fmla="val 1133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200" b="1"/>
            <a:t>El</a:t>
          </a:r>
          <a:r>
            <a:rPr lang="es-ES" sz="1200" b="1" baseline="0"/>
            <a:t> usuario indica que el número de días laborales al mes será 21, el número de turnos laborales por día será 1, el número de horas por turno 8 y no hay supervisores</a:t>
          </a:r>
          <a:endParaRPr lang="es-ES" sz="1200" b="1"/>
        </a:p>
      </xdr:txBody>
    </xdr:sp>
    <xdr:clientData/>
  </xdr:twoCellAnchor>
  <xdr:twoCellAnchor>
    <xdr:from>
      <xdr:col>19</xdr:col>
      <xdr:colOff>91440</xdr:colOff>
      <xdr:row>235</xdr:row>
      <xdr:rowOff>114300</xdr:rowOff>
    </xdr:from>
    <xdr:to>
      <xdr:col>41</xdr:col>
      <xdr:colOff>182880</xdr:colOff>
      <xdr:row>237</xdr:row>
      <xdr:rowOff>175260</xdr:rowOff>
    </xdr:to>
    <xdr:sp macro="" textlink="">
      <xdr:nvSpPr>
        <xdr:cNvPr id="75" name="Rectángulo 74">
          <a:extLst>
            <a:ext uri="{FF2B5EF4-FFF2-40B4-BE49-F238E27FC236}">
              <a16:creationId xmlns:a16="http://schemas.microsoft.com/office/drawing/2014/main" id="{00000000-0008-0000-0100-00004B000000}"/>
            </a:ext>
          </a:extLst>
        </xdr:cNvPr>
        <xdr:cNvSpPr/>
      </xdr:nvSpPr>
      <xdr:spPr>
        <a:xfrm>
          <a:off x="4869180" y="59344560"/>
          <a:ext cx="5623560" cy="51816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200" b="1"/>
            <a:t>Si hay casillas que no se han diligenciado,</a:t>
          </a:r>
          <a:r>
            <a:rPr lang="es-ES" sz="1200" b="1" baseline="0"/>
            <a:t> el modelo tomará los datos de referencia. Si desea indicar 0 (cero) debe diligenciar el valor en la casilla.</a:t>
          </a:r>
          <a:endParaRPr lang="es-ES" sz="1200" b="1"/>
        </a:p>
      </xdr:txBody>
    </xdr:sp>
    <xdr:clientData/>
  </xdr:twoCellAnchor>
  <xdr:twoCellAnchor editAs="oneCell">
    <xdr:from>
      <xdr:col>17</xdr:col>
      <xdr:colOff>129541</xdr:colOff>
      <xdr:row>235</xdr:row>
      <xdr:rowOff>30480</xdr:rowOff>
    </xdr:from>
    <xdr:to>
      <xdr:col>20</xdr:col>
      <xdr:colOff>114301</xdr:colOff>
      <xdr:row>237</xdr:row>
      <xdr:rowOff>220951</xdr:rowOff>
    </xdr:to>
    <xdr:pic>
      <xdr:nvPicPr>
        <xdr:cNvPr id="110" name="Imagen 109" descr="ATENCIÓN: Recordatorio | Revista Historia para todos">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404361" y="59260740"/>
          <a:ext cx="739140" cy="647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171450</xdr:colOff>
      <xdr:row>1</xdr:row>
      <xdr:rowOff>19050</xdr:rowOff>
    </xdr:from>
    <xdr:to>
      <xdr:col>7</xdr:col>
      <xdr:colOff>264372</xdr:colOff>
      <xdr:row>3</xdr:row>
      <xdr:rowOff>61135</xdr:rowOff>
    </xdr:to>
    <xdr:pic>
      <xdr:nvPicPr>
        <xdr:cNvPr id="112" name="1 Imagen" descr="Resultado de imagen para inter american development bank">
          <a:extLst>
            <a:ext uri="{FF2B5EF4-FFF2-40B4-BE49-F238E27FC236}">
              <a16:creationId xmlns:a16="http://schemas.microsoft.com/office/drawing/2014/main" id="{00000000-0008-0000-0100-000070000000}"/>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13684" b="36842"/>
        <a:stretch/>
      </xdr:blipFill>
      <xdr:spPr bwMode="auto">
        <a:xfrm>
          <a:off x="156210" y="201930"/>
          <a:ext cx="1850602" cy="884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220980</xdr:colOff>
      <xdr:row>240</xdr:row>
      <xdr:rowOff>167640</xdr:rowOff>
    </xdr:from>
    <xdr:to>
      <xdr:col>7</xdr:col>
      <xdr:colOff>106680</xdr:colOff>
      <xdr:row>243</xdr:row>
      <xdr:rowOff>68580</xdr:rowOff>
    </xdr:to>
    <xdr:sp macro="" textlink="">
      <xdr:nvSpPr>
        <xdr:cNvPr id="113" name="Elipse 112">
          <a:extLst>
            <a:ext uri="{FF2B5EF4-FFF2-40B4-BE49-F238E27FC236}">
              <a16:creationId xmlns:a16="http://schemas.microsoft.com/office/drawing/2014/main" id="{00000000-0008-0000-0100-000071000000}"/>
            </a:ext>
          </a:extLst>
        </xdr:cNvPr>
        <xdr:cNvSpPr/>
      </xdr:nvSpPr>
      <xdr:spPr>
        <a:xfrm>
          <a:off x="1226820" y="60068460"/>
          <a:ext cx="640080" cy="5867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t>2.2</a:t>
          </a:r>
        </a:p>
      </xdr:txBody>
    </xdr:sp>
    <xdr:clientData/>
  </xdr:twoCellAnchor>
  <xdr:twoCellAnchor>
    <xdr:from>
      <xdr:col>7</xdr:col>
      <xdr:colOff>182880</xdr:colOff>
      <xdr:row>241</xdr:row>
      <xdr:rowOff>53340</xdr:rowOff>
    </xdr:from>
    <xdr:to>
      <xdr:col>53</xdr:col>
      <xdr:colOff>45720</xdr:colOff>
      <xdr:row>242</xdr:row>
      <xdr:rowOff>213360</xdr:rowOff>
    </xdr:to>
    <xdr:sp macro="" textlink="">
      <xdr:nvSpPr>
        <xdr:cNvPr id="114" name="Rectángulo 113">
          <a:extLst>
            <a:ext uri="{FF2B5EF4-FFF2-40B4-BE49-F238E27FC236}">
              <a16:creationId xmlns:a16="http://schemas.microsoft.com/office/drawing/2014/main" id="{00000000-0008-0000-0100-000072000000}"/>
            </a:ext>
          </a:extLst>
        </xdr:cNvPr>
        <xdr:cNvSpPr/>
      </xdr:nvSpPr>
      <xdr:spPr>
        <a:xfrm>
          <a:off x="1943100" y="60182760"/>
          <a:ext cx="11430000" cy="3886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Verifique qué información </a:t>
          </a:r>
          <a:r>
            <a:rPr lang="es-ES" sz="1400" b="1" baseline="0"/>
            <a:t>debe diligenciar</a:t>
          </a:r>
          <a:endParaRPr lang="es-ES" sz="1400" b="1"/>
        </a:p>
      </xdr:txBody>
    </xdr:sp>
    <xdr:clientData/>
  </xdr:twoCellAnchor>
  <xdr:twoCellAnchor>
    <xdr:from>
      <xdr:col>5</xdr:col>
      <xdr:colOff>0</xdr:colOff>
      <xdr:row>274</xdr:row>
      <xdr:rowOff>0</xdr:rowOff>
    </xdr:from>
    <xdr:to>
      <xdr:col>7</xdr:col>
      <xdr:colOff>137160</xdr:colOff>
      <xdr:row>276</xdr:row>
      <xdr:rowOff>129540</xdr:rowOff>
    </xdr:to>
    <xdr:sp macro="" textlink="">
      <xdr:nvSpPr>
        <xdr:cNvPr id="115" name="Elipse 114">
          <a:extLst>
            <a:ext uri="{FF2B5EF4-FFF2-40B4-BE49-F238E27FC236}">
              <a16:creationId xmlns:a16="http://schemas.microsoft.com/office/drawing/2014/main" id="{00000000-0008-0000-0100-000073000000}"/>
            </a:ext>
          </a:extLst>
        </xdr:cNvPr>
        <xdr:cNvSpPr/>
      </xdr:nvSpPr>
      <xdr:spPr>
        <a:xfrm>
          <a:off x="1257300" y="73418700"/>
          <a:ext cx="640080" cy="5867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t>3</a:t>
          </a:r>
        </a:p>
      </xdr:txBody>
    </xdr:sp>
    <xdr:clientData/>
  </xdr:twoCellAnchor>
  <xdr:twoCellAnchor>
    <xdr:from>
      <xdr:col>8</xdr:col>
      <xdr:colOff>15240</xdr:colOff>
      <xdr:row>274</xdr:row>
      <xdr:rowOff>91440</xdr:rowOff>
    </xdr:from>
    <xdr:to>
      <xdr:col>53</xdr:col>
      <xdr:colOff>129540</xdr:colOff>
      <xdr:row>276</xdr:row>
      <xdr:rowOff>22860</xdr:rowOff>
    </xdr:to>
    <xdr:sp macro="" textlink="">
      <xdr:nvSpPr>
        <xdr:cNvPr id="116" name="Rectángulo 115">
          <a:extLst>
            <a:ext uri="{FF2B5EF4-FFF2-40B4-BE49-F238E27FC236}">
              <a16:creationId xmlns:a16="http://schemas.microsoft.com/office/drawing/2014/main" id="{00000000-0008-0000-0100-000074000000}"/>
            </a:ext>
          </a:extLst>
        </xdr:cNvPr>
        <xdr:cNvSpPr/>
      </xdr:nvSpPr>
      <xdr:spPr>
        <a:xfrm>
          <a:off x="2026920" y="73510140"/>
          <a:ext cx="11430000" cy="3886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Encuentre en cada concepto un hipervínculo para ampliar la información</a:t>
          </a:r>
        </a:p>
      </xdr:txBody>
    </xdr:sp>
    <xdr:clientData/>
  </xdr:twoCellAnchor>
  <xdr:twoCellAnchor editAs="oneCell">
    <xdr:from>
      <xdr:col>21</xdr:col>
      <xdr:colOff>137160</xdr:colOff>
      <xdr:row>317</xdr:row>
      <xdr:rowOff>342900</xdr:rowOff>
    </xdr:from>
    <xdr:to>
      <xdr:col>42</xdr:col>
      <xdr:colOff>104775</xdr:colOff>
      <xdr:row>317</xdr:row>
      <xdr:rowOff>1057275</xdr:rowOff>
    </xdr:to>
    <xdr:pic>
      <xdr:nvPicPr>
        <xdr:cNvPr id="107" name="Imagen 106">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417820" y="88673940"/>
          <a:ext cx="52482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7620</xdr:colOff>
      <xdr:row>231</xdr:row>
      <xdr:rowOff>213360</xdr:rowOff>
    </xdr:from>
    <xdr:to>
      <xdr:col>25</xdr:col>
      <xdr:colOff>7620</xdr:colOff>
      <xdr:row>232</xdr:row>
      <xdr:rowOff>129540</xdr:rowOff>
    </xdr:to>
    <xdr:cxnSp macro="">
      <xdr:nvCxnSpPr>
        <xdr:cNvPr id="76" name="Conector recto de flecha 75">
          <a:extLst>
            <a:ext uri="{FF2B5EF4-FFF2-40B4-BE49-F238E27FC236}">
              <a16:creationId xmlns:a16="http://schemas.microsoft.com/office/drawing/2014/main" id="{00000000-0008-0000-0100-00004C000000}"/>
            </a:ext>
          </a:extLst>
        </xdr:cNvPr>
        <xdr:cNvCxnSpPr/>
      </xdr:nvCxnSpPr>
      <xdr:spPr>
        <a:xfrm flipV="1">
          <a:off x="6294120" y="58056780"/>
          <a:ext cx="0" cy="1447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68580</xdr:colOff>
      <xdr:row>231</xdr:row>
      <xdr:rowOff>198120</xdr:rowOff>
    </xdr:from>
    <xdr:to>
      <xdr:col>29</xdr:col>
      <xdr:colOff>68580</xdr:colOff>
      <xdr:row>232</xdr:row>
      <xdr:rowOff>114300</xdr:rowOff>
    </xdr:to>
    <xdr:cxnSp macro="">
      <xdr:nvCxnSpPr>
        <xdr:cNvPr id="111" name="Conector recto de flecha 110">
          <a:extLst>
            <a:ext uri="{FF2B5EF4-FFF2-40B4-BE49-F238E27FC236}">
              <a16:creationId xmlns:a16="http://schemas.microsoft.com/office/drawing/2014/main" id="{00000000-0008-0000-0100-00006F000000}"/>
            </a:ext>
          </a:extLst>
        </xdr:cNvPr>
        <xdr:cNvCxnSpPr/>
      </xdr:nvCxnSpPr>
      <xdr:spPr>
        <a:xfrm flipV="1">
          <a:off x="7360920" y="58041540"/>
          <a:ext cx="0" cy="1447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22860</xdr:colOff>
      <xdr:row>232</xdr:row>
      <xdr:rowOff>190500</xdr:rowOff>
    </xdr:from>
    <xdr:to>
      <xdr:col>27</xdr:col>
      <xdr:colOff>38100</xdr:colOff>
      <xdr:row>234</xdr:row>
      <xdr:rowOff>220980</xdr:rowOff>
    </xdr:to>
    <xdr:sp macro="" textlink="">
      <xdr:nvSpPr>
        <xdr:cNvPr id="77" name="CuadroTexto 76">
          <a:extLst>
            <a:ext uri="{FF2B5EF4-FFF2-40B4-BE49-F238E27FC236}">
              <a16:creationId xmlns:a16="http://schemas.microsoft.com/office/drawing/2014/main" id="{00000000-0008-0000-0100-00004D000000}"/>
            </a:ext>
          </a:extLst>
        </xdr:cNvPr>
        <xdr:cNvSpPr txBox="1"/>
      </xdr:nvSpPr>
      <xdr:spPr>
        <a:xfrm>
          <a:off x="5806440" y="58262520"/>
          <a:ext cx="1021080" cy="487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a:solidFill>
                <a:schemeClr val="accent1"/>
              </a:solidFill>
            </a:rPr>
            <a:t>Valor a diligenciar</a:t>
          </a:r>
        </a:p>
      </xdr:txBody>
    </xdr:sp>
    <xdr:clientData/>
  </xdr:twoCellAnchor>
  <xdr:twoCellAnchor>
    <xdr:from>
      <xdr:col>27</xdr:col>
      <xdr:colOff>91440</xdr:colOff>
      <xdr:row>232</xdr:row>
      <xdr:rowOff>167640</xdr:rowOff>
    </xdr:from>
    <xdr:to>
      <xdr:col>31</xdr:col>
      <xdr:colOff>106680</xdr:colOff>
      <xdr:row>234</xdr:row>
      <xdr:rowOff>198120</xdr:rowOff>
    </xdr:to>
    <xdr:sp macro="" textlink="">
      <xdr:nvSpPr>
        <xdr:cNvPr id="117" name="CuadroTexto 116">
          <a:extLst>
            <a:ext uri="{FF2B5EF4-FFF2-40B4-BE49-F238E27FC236}">
              <a16:creationId xmlns:a16="http://schemas.microsoft.com/office/drawing/2014/main" id="{00000000-0008-0000-0100-000075000000}"/>
            </a:ext>
          </a:extLst>
        </xdr:cNvPr>
        <xdr:cNvSpPr txBox="1"/>
      </xdr:nvSpPr>
      <xdr:spPr>
        <a:xfrm>
          <a:off x="6880860" y="58239660"/>
          <a:ext cx="1021080" cy="487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a:solidFill>
                <a:schemeClr val="accent1"/>
              </a:solidFill>
            </a:rPr>
            <a:t>Valor de referencia</a:t>
          </a:r>
        </a:p>
      </xdr:txBody>
    </xdr:sp>
    <xdr:clientData/>
  </xdr:twoCellAnchor>
  <mc:AlternateContent xmlns:mc="http://schemas.openxmlformats.org/markup-compatibility/2006">
    <mc:Choice xmlns:a14="http://schemas.microsoft.com/office/drawing/2010/main" Requires="a14">
      <xdr:twoCellAnchor editAs="oneCell">
        <xdr:from>
          <xdr:col>11</xdr:col>
          <xdr:colOff>53340</xdr:colOff>
          <xdr:row>227</xdr:row>
          <xdr:rowOff>99060</xdr:rowOff>
        </xdr:from>
        <xdr:to>
          <xdr:col>31</xdr:col>
          <xdr:colOff>45720</xdr:colOff>
          <xdr:row>231</xdr:row>
          <xdr:rowOff>137159</xdr:rowOff>
        </xdr:to>
        <xdr:pic>
          <xdr:nvPicPr>
            <xdr:cNvPr id="119" name="Imagen 118">
              <a:extLst>
                <a:ext uri="{FF2B5EF4-FFF2-40B4-BE49-F238E27FC236}">
                  <a16:creationId xmlns:a16="http://schemas.microsoft.com/office/drawing/2014/main" id="{00000000-0008-0000-0100-000077000000}"/>
                </a:ext>
              </a:extLst>
            </xdr:cNvPr>
            <xdr:cNvPicPr>
              <a:picLocks noChangeAspect="1" noChangeArrowheads="1"/>
              <a:extLst>
                <a:ext uri="{84589F7E-364E-4C9E-8A38-B11213B215E9}">
                  <a14:cameraTool cellRange="'Datos Recicladores'!$E$80:$I$83" spid="_x0000_s2991"/>
                </a:ext>
              </a:extLst>
            </xdr:cNvPicPr>
          </xdr:nvPicPr>
          <xdr:blipFill>
            <a:blip xmlns:r="http://schemas.openxmlformats.org/officeDocument/2006/relationships" r:embed="rId15"/>
            <a:srcRect/>
            <a:stretch>
              <a:fillRect/>
            </a:stretch>
          </xdr:blipFill>
          <xdr:spPr bwMode="auto">
            <a:xfrm>
              <a:off x="2819400" y="57028080"/>
              <a:ext cx="5021580" cy="952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13</xdr:col>
      <xdr:colOff>69475</xdr:colOff>
      <xdr:row>392</xdr:row>
      <xdr:rowOff>110715</xdr:rowOff>
    </xdr:from>
    <xdr:to>
      <xdr:col>50</xdr:col>
      <xdr:colOff>152399</xdr:colOff>
      <xdr:row>392</xdr:row>
      <xdr:rowOff>762001</xdr:rowOff>
    </xdr:to>
    <xdr:sp macro="" textlink="">
      <xdr:nvSpPr>
        <xdr:cNvPr id="118" name="Rectángulo 117">
          <a:extLst>
            <a:ext uri="{FF2B5EF4-FFF2-40B4-BE49-F238E27FC236}">
              <a16:creationId xmlns:a16="http://schemas.microsoft.com/office/drawing/2014/main" id="{00000000-0008-0000-0100-000076000000}"/>
            </a:ext>
          </a:extLst>
        </xdr:cNvPr>
        <xdr:cNvSpPr/>
      </xdr:nvSpPr>
      <xdr:spPr>
        <a:xfrm>
          <a:off x="3332628" y="124890456"/>
          <a:ext cx="9370359" cy="651286"/>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200" b="1"/>
            <a:t>Tenga en cuenta que las cantidades ingresadas se repiten para todos los centros de acopio. Por ejemplo si usted cuenta con 3 centros de acopio y diligencia 1 en la sección de báscula camionera, el modelo calculará las inversiones para 3 básculas camioneras; usted puede hacer uso de fracciones para evitarlo, por ejemplo 1/3 si quiere indicar una sola báscula camionera para los 3 centros.</a:t>
          </a:r>
        </a:p>
      </xdr:txBody>
    </xdr:sp>
    <xdr:clientData/>
  </xdr:twoCellAnchor>
  <xdr:twoCellAnchor editAs="oneCell">
    <xdr:from>
      <xdr:col>10</xdr:col>
      <xdr:colOff>233082</xdr:colOff>
      <xdr:row>392</xdr:row>
      <xdr:rowOff>71718</xdr:rowOff>
    </xdr:from>
    <xdr:to>
      <xdr:col>13</xdr:col>
      <xdr:colOff>217842</xdr:colOff>
      <xdr:row>392</xdr:row>
      <xdr:rowOff>728353</xdr:rowOff>
    </xdr:to>
    <xdr:pic>
      <xdr:nvPicPr>
        <xdr:cNvPr id="120" name="Imagen 119" descr="ATENCIÓN: Recordatorio | Revista Historia para todos">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43200" y="124851459"/>
          <a:ext cx="737795" cy="65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98612</xdr:colOff>
      <xdr:row>268</xdr:row>
      <xdr:rowOff>367553</xdr:rowOff>
    </xdr:from>
    <xdr:to>
      <xdr:col>7</xdr:col>
      <xdr:colOff>235324</xdr:colOff>
      <xdr:row>269</xdr:row>
      <xdr:rowOff>483646</xdr:rowOff>
    </xdr:to>
    <xdr:sp macro="" textlink="">
      <xdr:nvSpPr>
        <xdr:cNvPr id="121" name="Elipse 120">
          <a:extLst>
            <a:ext uri="{FF2B5EF4-FFF2-40B4-BE49-F238E27FC236}">
              <a16:creationId xmlns:a16="http://schemas.microsoft.com/office/drawing/2014/main" id="{00000000-0008-0000-0100-000079000000}"/>
            </a:ext>
          </a:extLst>
        </xdr:cNvPr>
        <xdr:cNvSpPr/>
      </xdr:nvSpPr>
      <xdr:spPr>
        <a:xfrm>
          <a:off x="1353671" y="74209835"/>
          <a:ext cx="638735" cy="60018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t>2.3</a:t>
          </a:r>
        </a:p>
      </xdr:txBody>
    </xdr:sp>
    <xdr:clientData/>
  </xdr:twoCellAnchor>
  <xdr:twoCellAnchor>
    <xdr:from>
      <xdr:col>9</xdr:col>
      <xdr:colOff>0</xdr:colOff>
      <xdr:row>269</xdr:row>
      <xdr:rowOff>0</xdr:rowOff>
    </xdr:from>
    <xdr:to>
      <xdr:col>54</xdr:col>
      <xdr:colOff>113853</xdr:colOff>
      <xdr:row>269</xdr:row>
      <xdr:rowOff>393102</xdr:rowOff>
    </xdr:to>
    <xdr:sp macro="" textlink="">
      <xdr:nvSpPr>
        <xdr:cNvPr id="122" name="Rectángulo 121">
          <a:extLst>
            <a:ext uri="{FF2B5EF4-FFF2-40B4-BE49-F238E27FC236}">
              <a16:creationId xmlns:a16="http://schemas.microsoft.com/office/drawing/2014/main" id="{00000000-0008-0000-0100-00007A000000}"/>
            </a:ext>
          </a:extLst>
        </xdr:cNvPr>
        <xdr:cNvSpPr/>
      </xdr:nvSpPr>
      <xdr:spPr>
        <a:xfrm>
          <a:off x="2259106" y="74326376"/>
          <a:ext cx="11409382" cy="39310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ES" sz="1400" b="1"/>
            <a:t>Recomendaciones</a:t>
          </a:r>
        </a:p>
      </xdr:txBody>
    </xdr:sp>
    <xdr:clientData/>
  </xdr:twoCellAnchor>
  <xdr:twoCellAnchor>
    <xdr:from>
      <xdr:col>15</xdr:col>
      <xdr:colOff>0</xdr:colOff>
      <xdr:row>270</xdr:row>
      <xdr:rowOff>476473</xdr:rowOff>
    </xdr:from>
    <xdr:to>
      <xdr:col>49</xdr:col>
      <xdr:colOff>116542</xdr:colOff>
      <xdr:row>273</xdr:row>
      <xdr:rowOff>80682</xdr:rowOff>
    </xdr:to>
    <xdr:sp macro="" textlink="">
      <xdr:nvSpPr>
        <xdr:cNvPr id="124" name="Rectángulo 123">
          <a:extLst>
            <a:ext uri="{FF2B5EF4-FFF2-40B4-BE49-F238E27FC236}">
              <a16:creationId xmlns:a16="http://schemas.microsoft.com/office/drawing/2014/main" id="{00000000-0008-0000-0100-00007C000000}"/>
            </a:ext>
          </a:extLst>
        </xdr:cNvPr>
        <xdr:cNvSpPr/>
      </xdr:nvSpPr>
      <xdr:spPr>
        <a:xfrm>
          <a:off x="3765176" y="75286944"/>
          <a:ext cx="8650942" cy="105649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ES" sz="1600" b="1"/>
            <a:t>1.</a:t>
          </a:r>
          <a:r>
            <a:rPr lang="es-ES" sz="1600" b="1" baseline="0"/>
            <a:t> No modifique las fórmulas que contienen las hojas de datos</a:t>
          </a:r>
        </a:p>
        <a:p>
          <a:pPr algn="ctr"/>
          <a:r>
            <a:rPr lang="es-ES" sz="1600" b="1" baseline="0"/>
            <a:t>2. Evite diligenciar datos en celdas distintas a las indicadas en la sección 2.1 de estas instruciones  </a:t>
          </a:r>
        </a:p>
      </xdr:txBody>
    </xdr:sp>
    <xdr:clientData/>
  </xdr:twoCellAnchor>
  <xdr:twoCellAnchor editAs="oneCell">
    <xdr:from>
      <xdr:col>10</xdr:col>
      <xdr:colOff>163882</xdr:colOff>
      <xdr:row>270</xdr:row>
      <xdr:rowOff>295835</xdr:rowOff>
    </xdr:from>
    <xdr:to>
      <xdr:col>16</xdr:col>
      <xdr:colOff>107578</xdr:colOff>
      <xdr:row>273</xdr:row>
      <xdr:rowOff>133840</xdr:rowOff>
    </xdr:to>
    <xdr:pic>
      <xdr:nvPicPr>
        <xdr:cNvPr id="123" name="Imagen 122" descr="ATENCIÓN: Recordatorio | Revista Historia para todos">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74000" y="75106306"/>
          <a:ext cx="1449766" cy="1290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45720</xdr:colOff>
      <xdr:row>0</xdr:row>
      <xdr:rowOff>167640</xdr:rowOff>
    </xdr:from>
    <xdr:to>
      <xdr:col>8</xdr:col>
      <xdr:colOff>14792</xdr:colOff>
      <xdr:row>3</xdr:row>
      <xdr:rowOff>223157</xdr:rowOff>
    </xdr:to>
    <xdr:pic>
      <xdr:nvPicPr>
        <xdr:cNvPr id="2" name="1 Imagen" descr="Resultado de imagen para inter american development bank">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684" b="36842"/>
        <a:stretch/>
      </xdr:blipFill>
      <xdr:spPr bwMode="auto">
        <a:xfrm>
          <a:off x="403860" y="167640"/>
          <a:ext cx="2209352"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320040</xdr:colOff>
      <xdr:row>18</xdr:row>
      <xdr:rowOff>220979</xdr:rowOff>
    </xdr:from>
    <xdr:to>
      <xdr:col>12</xdr:col>
      <xdr:colOff>320040</xdr:colOff>
      <xdr:row>22</xdr:row>
      <xdr:rowOff>48520</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1440" y="3695699"/>
          <a:ext cx="975360" cy="741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255664</xdr:colOff>
      <xdr:row>19</xdr:row>
      <xdr:rowOff>20055</xdr:rowOff>
    </xdr:from>
    <xdr:to>
      <xdr:col>21</xdr:col>
      <xdr:colOff>317022</xdr:colOff>
      <xdr:row>23</xdr:row>
      <xdr:rowOff>106679</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1030" t="29299" r="58627" b="55075"/>
        <a:stretch/>
      </xdr:blipFill>
      <xdr:spPr>
        <a:xfrm>
          <a:off x="6702184" y="3723375"/>
          <a:ext cx="1501538" cy="1001025"/>
        </a:xfrm>
        <a:prstGeom prst="rect">
          <a:avLst/>
        </a:prstGeom>
      </xdr:spPr>
    </xdr:pic>
    <xdr:clientData/>
  </xdr:twoCellAnchor>
  <xdr:twoCellAnchor editAs="oneCell">
    <xdr:from>
      <xdr:col>27</xdr:col>
      <xdr:colOff>304799</xdr:colOff>
      <xdr:row>17</xdr:row>
      <xdr:rowOff>198120</xdr:rowOff>
    </xdr:from>
    <xdr:to>
      <xdr:col>27</xdr:col>
      <xdr:colOff>1423852</xdr:colOff>
      <xdr:row>20</xdr:row>
      <xdr:rowOff>205224</xdr:rowOff>
    </xdr:to>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34599" y="4495800"/>
          <a:ext cx="1104901" cy="692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359229</xdr:colOff>
      <xdr:row>25</xdr:row>
      <xdr:rowOff>89263</xdr:rowOff>
    </xdr:from>
    <xdr:to>
      <xdr:col>15</xdr:col>
      <xdr:colOff>120831</xdr:colOff>
      <xdr:row>30</xdr:row>
      <xdr:rowOff>180703</xdr:rowOff>
    </xdr:to>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3940629" y="6457406"/>
          <a:ext cx="2243545" cy="1245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400"/>
            <a:t>Los recicladores recolectan con</a:t>
          </a:r>
          <a:r>
            <a:rPr lang="es-ES" sz="1400" baseline="0"/>
            <a:t> costales  los materiales separados en la fuente a cada vivienda</a:t>
          </a:r>
          <a:endParaRPr lang="es-ES" sz="1400"/>
        </a:p>
      </xdr:txBody>
    </xdr:sp>
    <xdr:clientData/>
  </xdr:twoCellAnchor>
  <xdr:twoCellAnchor>
    <xdr:from>
      <xdr:col>17</xdr:col>
      <xdr:colOff>426045</xdr:colOff>
      <xdr:row>25</xdr:row>
      <xdr:rowOff>78715</xdr:rowOff>
    </xdr:from>
    <xdr:to>
      <xdr:col>22</xdr:col>
      <xdr:colOff>372705</xdr:colOff>
      <xdr:row>30</xdr:row>
      <xdr:rowOff>170155</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7904531" y="6446858"/>
          <a:ext cx="2363288" cy="1245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400"/>
            <a:t>Luego los entregan en un punto específico al</a:t>
          </a:r>
          <a:r>
            <a:rPr lang="es-ES" sz="1400" baseline="0"/>
            <a:t> prestador del servicio de limpieza urbana, quien los transporta en un camión</a:t>
          </a:r>
          <a:endParaRPr lang="es-ES" sz="1400"/>
        </a:p>
      </xdr:txBody>
    </xdr:sp>
    <xdr:clientData/>
  </xdr:twoCellAnchor>
  <xdr:twoCellAnchor editAs="oneCell">
    <xdr:from>
      <xdr:col>31</xdr:col>
      <xdr:colOff>144779</xdr:colOff>
      <xdr:row>17</xdr:row>
      <xdr:rowOff>213360</xdr:rowOff>
    </xdr:from>
    <xdr:to>
      <xdr:col>35</xdr:col>
      <xdr:colOff>0</xdr:colOff>
      <xdr:row>20</xdr:row>
      <xdr:rowOff>220464</xdr:rowOff>
    </xdr:to>
    <xdr:pic>
      <xdr:nvPicPr>
        <xdr:cNvPr id="11" name="Imagen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36679" y="4511040"/>
          <a:ext cx="1104901" cy="692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350519</xdr:colOff>
      <xdr:row>21</xdr:row>
      <xdr:rowOff>190500</xdr:rowOff>
    </xdr:from>
    <xdr:to>
      <xdr:col>27</xdr:col>
      <xdr:colOff>1469572</xdr:colOff>
      <xdr:row>24</xdr:row>
      <xdr:rowOff>197605</xdr:rowOff>
    </xdr:to>
    <xdr:pic>
      <xdr:nvPicPr>
        <xdr:cNvPr id="12" name="Imagen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80319" y="5402580"/>
          <a:ext cx="1104901" cy="692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137159</xdr:colOff>
      <xdr:row>21</xdr:row>
      <xdr:rowOff>167640</xdr:rowOff>
    </xdr:from>
    <xdr:to>
      <xdr:col>35</xdr:col>
      <xdr:colOff>544</xdr:colOff>
      <xdr:row>24</xdr:row>
      <xdr:rowOff>174745</xdr:rowOff>
    </xdr:to>
    <xdr:pic>
      <xdr:nvPicPr>
        <xdr:cNvPr id="13" name="Imagen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29059" y="5379720"/>
          <a:ext cx="1104901" cy="692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xdr:colOff>
      <xdr:row>17</xdr:row>
      <xdr:rowOff>137160</xdr:rowOff>
    </xdr:from>
    <xdr:to>
      <xdr:col>8</xdr:col>
      <xdr:colOff>343116</xdr:colOff>
      <xdr:row>20</xdr:row>
      <xdr:rowOff>175260</xdr:rowOff>
    </xdr:to>
    <xdr:pic>
      <xdr:nvPicPr>
        <xdr:cNvPr id="14" name="Imagen 13" descr="SMALL IMAGE (PNG)">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68948"/>
        <a:stretch/>
      </xdr:blipFill>
      <xdr:spPr>
        <a:xfrm>
          <a:off x="731520" y="3383280"/>
          <a:ext cx="2354796" cy="723900"/>
        </a:xfrm>
        <a:prstGeom prst="rect">
          <a:avLst/>
        </a:prstGeom>
      </xdr:spPr>
    </xdr:pic>
    <xdr:clientData/>
  </xdr:twoCellAnchor>
  <xdr:twoCellAnchor>
    <xdr:from>
      <xdr:col>27</xdr:col>
      <xdr:colOff>186144</xdr:colOff>
      <xdr:row>24</xdr:row>
      <xdr:rowOff>55516</xdr:rowOff>
    </xdr:from>
    <xdr:to>
      <xdr:col>35</xdr:col>
      <xdr:colOff>239486</xdr:colOff>
      <xdr:row>31</xdr:row>
      <xdr:rowOff>65313</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3673544" y="6195059"/>
          <a:ext cx="3319056" cy="1620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400"/>
            <a:t>El prestador del servicio de limpieza urbana transporta los materiales reciclables a 4 centros de acopio,</a:t>
          </a:r>
          <a:r>
            <a:rPr lang="es-ES" sz="1400" baseline="0"/>
            <a:t> que son operados por recicladores</a:t>
          </a:r>
          <a:endParaRPr lang="es-ES" sz="1400"/>
        </a:p>
      </xdr:txBody>
    </xdr:sp>
    <xdr:clientData/>
  </xdr:twoCellAnchor>
  <xdr:twoCellAnchor>
    <xdr:from>
      <xdr:col>8</xdr:col>
      <xdr:colOff>320256</xdr:colOff>
      <xdr:row>21</xdr:row>
      <xdr:rowOff>144780</xdr:rowOff>
    </xdr:from>
    <xdr:to>
      <xdr:col>10</xdr:col>
      <xdr:colOff>152400</xdr:colOff>
      <xdr:row>21</xdr:row>
      <xdr:rowOff>148590</xdr:rowOff>
    </xdr:to>
    <xdr:cxnSp macro="">
      <xdr:nvCxnSpPr>
        <xdr:cNvPr id="10" name="Conector recto de flecha 9">
          <a:extLst>
            <a:ext uri="{FF2B5EF4-FFF2-40B4-BE49-F238E27FC236}">
              <a16:creationId xmlns:a16="http://schemas.microsoft.com/office/drawing/2014/main" id="{00000000-0008-0000-0200-00000A000000}"/>
            </a:ext>
          </a:extLst>
        </xdr:cNvPr>
        <xdr:cNvCxnSpPr/>
      </xdr:nvCxnSpPr>
      <xdr:spPr>
        <a:xfrm flipV="1">
          <a:off x="3185376" y="4305300"/>
          <a:ext cx="548424" cy="3810"/>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16</xdr:col>
      <xdr:colOff>99060</xdr:colOff>
      <xdr:row>21</xdr:row>
      <xdr:rowOff>129540</xdr:rowOff>
    </xdr:from>
    <xdr:to>
      <xdr:col>18</xdr:col>
      <xdr:colOff>7620</xdr:colOff>
      <xdr:row>21</xdr:row>
      <xdr:rowOff>137160</xdr:rowOff>
    </xdr:to>
    <xdr:cxnSp macro="">
      <xdr:nvCxnSpPr>
        <xdr:cNvPr id="20" name="Conector recto de flecha 19">
          <a:extLst>
            <a:ext uri="{FF2B5EF4-FFF2-40B4-BE49-F238E27FC236}">
              <a16:creationId xmlns:a16="http://schemas.microsoft.com/office/drawing/2014/main" id="{00000000-0008-0000-0200-000014000000}"/>
            </a:ext>
          </a:extLst>
        </xdr:cNvPr>
        <xdr:cNvCxnSpPr/>
      </xdr:nvCxnSpPr>
      <xdr:spPr>
        <a:xfrm>
          <a:off x="5829300" y="4290060"/>
          <a:ext cx="624840" cy="7620"/>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23</xdr:col>
      <xdr:colOff>19842</xdr:colOff>
      <xdr:row>19</xdr:row>
      <xdr:rowOff>87372</xdr:rowOff>
    </xdr:from>
    <xdr:to>
      <xdr:col>27</xdr:col>
      <xdr:colOff>304799</xdr:colOff>
      <xdr:row>21</xdr:row>
      <xdr:rowOff>63368</xdr:rowOff>
    </xdr:to>
    <xdr:cxnSp macro="">
      <xdr:nvCxnSpPr>
        <xdr:cNvPr id="23" name="Conector recto de flecha 22">
          <a:extLst>
            <a:ext uri="{FF2B5EF4-FFF2-40B4-BE49-F238E27FC236}">
              <a16:creationId xmlns:a16="http://schemas.microsoft.com/office/drawing/2014/main" id="{00000000-0008-0000-0200-000017000000}"/>
            </a:ext>
          </a:extLst>
        </xdr:cNvPr>
        <xdr:cNvCxnSpPr>
          <a:stCxn id="4" idx="3"/>
          <a:endCxn id="5" idx="1"/>
        </xdr:cNvCxnSpPr>
      </xdr:nvCxnSpPr>
      <xdr:spPr>
        <a:xfrm flipV="1">
          <a:off x="8417082" y="4842252"/>
          <a:ext cx="1717517" cy="433196"/>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23</xdr:col>
      <xdr:colOff>19842</xdr:colOff>
      <xdr:row>21</xdr:row>
      <xdr:rowOff>63368</xdr:rowOff>
    </xdr:from>
    <xdr:to>
      <xdr:col>27</xdr:col>
      <xdr:colOff>350519</xdr:colOff>
      <xdr:row>23</xdr:row>
      <xdr:rowOff>79752</xdr:rowOff>
    </xdr:to>
    <xdr:cxnSp macro="">
      <xdr:nvCxnSpPr>
        <xdr:cNvPr id="25" name="Conector recto de flecha 24">
          <a:extLst>
            <a:ext uri="{FF2B5EF4-FFF2-40B4-BE49-F238E27FC236}">
              <a16:creationId xmlns:a16="http://schemas.microsoft.com/office/drawing/2014/main" id="{00000000-0008-0000-0200-000019000000}"/>
            </a:ext>
          </a:extLst>
        </xdr:cNvPr>
        <xdr:cNvCxnSpPr>
          <a:stCxn id="4" idx="3"/>
          <a:endCxn id="12" idx="1"/>
        </xdr:cNvCxnSpPr>
      </xdr:nvCxnSpPr>
      <xdr:spPr>
        <a:xfrm>
          <a:off x="8417082" y="5275448"/>
          <a:ext cx="1763237" cy="473584"/>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11</xdr:col>
      <xdr:colOff>129540</xdr:colOff>
      <xdr:row>15</xdr:row>
      <xdr:rowOff>7620</xdr:rowOff>
    </xdr:from>
    <xdr:to>
      <xdr:col>15</xdr:col>
      <xdr:colOff>320040</xdr:colOff>
      <xdr:row>16</xdr:row>
      <xdr:rowOff>91440</xdr:rowOff>
    </xdr:to>
    <xdr:sp macro="" textlink="">
      <xdr:nvSpPr>
        <xdr:cNvPr id="30" name="CuadroTexto 29">
          <a:extLst>
            <a:ext uri="{FF2B5EF4-FFF2-40B4-BE49-F238E27FC236}">
              <a16:creationId xmlns:a16="http://schemas.microsoft.com/office/drawing/2014/main" id="{00000000-0008-0000-0200-00001E000000}"/>
            </a:ext>
          </a:extLst>
        </xdr:cNvPr>
        <xdr:cNvSpPr txBox="1"/>
      </xdr:nvSpPr>
      <xdr:spPr>
        <a:xfrm>
          <a:off x="4282440" y="3848100"/>
          <a:ext cx="1623060" cy="312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600" b="1">
              <a:solidFill>
                <a:schemeClr val="accent6">
                  <a:lumMod val="75000"/>
                </a:schemeClr>
              </a:solidFill>
            </a:rPr>
            <a:t>RECICLADORES</a:t>
          </a:r>
        </a:p>
      </xdr:txBody>
    </xdr:sp>
    <xdr:clientData/>
  </xdr:twoCellAnchor>
  <xdr:twoCellAnchor>
    <xdr:from>
      <xdr:col>28</xdr:col>
      <xdr:colOff>137160</xdr:colOff>
      <xdr:row>15</xdr:row>
      <xdr:rowOff>45720</xdr:rowOff>
    </xdr:from>
    <xdr:to>
      <xdr:col>32</xdr:col>
      <xdr:colOff>327660</xdr:colOff>
      <xdr:row>16</xdr:row>
      <xdr:rowOff>129540</xdr:rowOff>
    </xdr:to>
    <xdr:sp macro="" textlink="">
      <xdr:nvSpPr>
        <xdr:cNvPr id="31" name="CuadroTexto 30">
          <a:extLst>
            <a:ext uri="{FF2B5EF4-FFF2-40B4-BE49-F238E27FC236}">
              <a16:creationId xmlns:a16="http://schemas.microsoft.com/office/drawing/2014/main" id="{00000000-0008-0000-0200-00001F000000}"/>
            </a:ext>
          </a:extLst>
        </xdr:cNvPr>
        <xdr:cNvSpPr txBox="1"/>
      </xdr:nvSpPr>
      <xdr:spPr>
        <a:xfrm>
          <a:off x="10454640" y="3886200"/>
          <a:ext cx="1623060" cy="312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600" b="1">
              <a:solidFill>
                <a:schemeClr val="accent6">
                  <a:lumMod val="75000"/>
                </a:schemeClr>
              </a:solidFill>
            </a:rPr>
            <a:t>RECICLADORES</a:t>
          </a:r>
        </a:p>
      </xdr:txBody>
    </xdr:sp>
    <xdr:clientData/>
  </xdr:twoCellAnchor>
  <xdr:twoCellAnchor>
    <xdr:from>
      <xdr:col>17</xdr:col>
      <xdr:colOff>38100</xdr:colOff>
      <xdr:row>15</xdr:row>
      <xdr:rowOff>22860</xdr:rowOff>
    </xdr:from>
    <xdr:to>
      <xdr:col>23</xdr:col>
      <xdr:colOff>312420</xdr:colOff>
      <xdr:row>18</xdr:row>
      <xdr:rowOff>45720</xdr:rowOff>
    </xdr:to>
    <xdr:sp macro="" textlink="">
      <xdr:nvSpPr>
        <xdr:cNvPr id="32" name="CuadroTexto 31">
          <a:extLst>
            <a:ext uri="{FF2B5EF4-FFF2-40B4-BE49-F238E27FC236}">
              <a16:creationId xmlns:a16="http://schemas.microsoft.com/office/drawing/2014/main" id="{00000000-0008-0000-0200-000020000000}"/>
            </a:ext>
          </a:extLst>
        </xdr:cNvPr>
        <xdr:cNvSpPr txBox="1"/>
      </xdr:nvSpPr>
      <xdr:spPr>
        <a:xfrm>
          <a:off x="6339840" y="3863340"/>
          <a:ext cx="2369820"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600" b="1">
              <a:solidFill>
                <a:schemeClr val="accent6">
                  <a:lumMod val="75000"/>
                </a:schemeClr>
              </a:solidFill>
            </a:rPr>
            <a:t>PRESTADOR</a:t>
          </a:r>
          <a:r>
            <a:rPr lang="es-ES" sz="1600" b="1" baseline="0">
              <a:solidFill>
                <a:schemeClr val="accent6">
                  <a:lumMod val="75000"/>
                </a:schemeClr>
              </a:solidFill>
            </a:rPr>
            <a:t> DE LIMPIEZA URBANA</a:t>
          </a:r>
          <a:endParaRPr lang="es-ES" sz="1600" b="1">
            <a:solidFill>
              <a:schemeClr val="accent6">
                <a:lumMod val="75000"/>
              </a:schemeClr>
            </a:solidFill>
          </a:endParaRPr>
        </a:p>
      </xdr:txBody>
    </xdr:sp>
    <xdr:clientData/>
  </xdr:twoCellAnchor>
  <xdr:twoCellAnchor>
    <xdr:from>
      <xdr:col>2</xdr:col>
      <xdr:colOff>76200</xdr:colOff>
      <xdr:row>21</xdr:row>
      <xdr:rowOff>190500</xdr:rowOff>
    </xdr:from>
    <xdr:to>
      <xdr:col>7</xdr:col>
      <xdr:colOff>327660</xdr:colOff>
      <xdr:row>24</xdr:row>
      <xdr:rowOff>205740</xdr:rowOff>
    </xdr:to>
    <xdr:sp macro="" textlink="">
      <xdr:nvSpPr>
        <xdr:cNvPr id="43" name="Rectángulo 42">
          <a:extLst>
            <a:ext uri="{FF2B5EF4-FFF2-40B4-BE49-F238E27FC236}">
              <a16:creationId xmlns:a16="http://schemas.microsoft.com/office/drawing/2014/main" id="{00000000-0008-0000-0200-00002B000000}"/>
            </a:ext>
          </a:extLst>
        </xdr:cNvPr>
        <xdr:cNvSpPr/>
      </xdr:nvSpPr>
      <xdr:spPr>
        <a:xfrm>
          <a:off x="792480" y="4351020"/>
          <a:ext cx="2042160" cy="70104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ES" sz="1400" b="0"/>
            <a:t>2.280</a:t>
          </a:r>
          <a:r>
            <a:rPr lang="es-ES" sz="1400" b="0" baseline="0"/>
            <a:t> toneladas al año de materiales reciclables </a:t>
          </a:r>
          <a:endParaRPr lang="es-ES" sz="1400" b="0"/>
        </a:p>
      </xdr:txBody>
    </xdr:sp>
    <xdr:clientData/>
  </xdr:twoCellAnchor>
  <xdr:twoCellAnchor editAs="oneCell">
    <xdr:from>
      <xdr:col>13</xdr:col>
      <xdr:colOff>160020</xdr:colOff>
      <xdr:row>18</xdr:row>
      <xdr:rowOff>205739</xdr:rowOff>
    </xdr:from>
    <xdr:to>
      <xdr:col>15</xdr:col>
      <xdr:colOff>198120</xdr:colOff>
      <xdr:row>22</xdr:row>
      <xdr:rowOff>33280</xdr:rowOff>
    </xdr:to>
    <xdr:pic>
      <xdr:nvPicPr>
        <xdr:cNvPr id="50" name="Imagen 49">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5840" y="3680459"/>
          <a:ext cx="975360" cy="741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320040</xdr:colOff>
      <xdr:row>21</xdr:row>
      <xdr:rowOff>205739</xdr:rowOff>
    </xdr:from>
    <xdr:to>
      <xdr:col>12</xdr:col>
      <xdr:colOff>320040</xdr:colOff>
      <xdr:row>25</xdr:row>
      <xdr:rowOff>33281</xdr:rowOff>
    </xdr:to>
    <xdr:pic>
      <xdr:nvPicPr>
        <xdr:cNvPr id="51" name="Imagen 50">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1440" y="4366259"/>
          <a:ext cx="975360" cy="741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182880</xdr:colOff>
      <xdr:row>21</xdr:row>
      <xdr:rowOff>198119</xdr:rowOff>
    </xdr:from>
    <xdr:to>
      <xdr:col>15</xdr:col>
      <xdr:colOff>220980</xdr:colOff>
      <xdr:row>25</xdr:row>
      <xdr:rowOff>25661</xdr:rowOff>
    </xdr:to>
    <xdr:pic>
      <xdr:nvPicPr>
        <xdr:cNvPr id="52" name="Imagen 51">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38700" y="4358639"/>
          <a:ext cx="975360" cy="741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51161</xdr:colOff>
      <xdr:row>26</xdr:row>
      <xdr:rowOff>0</xdr:rowOff>
    </xdr:from>
    <xdr:to>
      <xdr:col>9</xdr:col>
      <xdr:colOff>188388</xdr:colOff>
      <xdr:row>36</xdr:row>
      <xdr:rowOff>108857</xdr:rowOff>
    </xdr:to>
    <xdr:pic>
      <xdr:nvPicPr>
        <xdr:cNvPr id="70" name="Imagen 69">
          <a:extLst>
            <a:ext uri="{FF2B5EF4-FFF2-40B4-BE49-F238E27FC236}">
              <a16:creationId xmlns:a16="http://schemas.microsoft.com/office/drawing/2014/main" id="{00000000-0008-0000-0200-000046000000}"/>
            </a:ext>
          </a:extLst>
        </xdr:cNvPr>
        <xdr:cNvPicPr>
          <a:picLocks noChangeAspect="1"/>
        </xdr:cNvPicPr>
      </xdr:nvPicPr>
      <xdr:blipFill rotWithShape="1">
        <a:blip xmlns:r="http://schemas.openxmlformats.org/officeDocument/2006/relationships" r:embed="rId6"/>
        <a:srcRect l="10165" r="12074"/>
        <a:stretch/>
      </xdr:blipFill>
      <xdr:spPr>
        <a:xfrm>
          <a:off x="51161" y="6607629"/>
          <a:ext cx="3141684" cy="2394857"/>
        </a:xfrm>
        <a:prstGeom prst="rect">
          <a:avLst/>
        </a:prstGeom>
      </xdr:spPr>
    </xdr:pic>
    <xdr:clientData/>
  </xdr:twoCellAnchor>
  <xdr:twoCellAnchor>
    <xdr:from>
      <xdr:col>5</xdr:col>
      <xdr:colOff>163317</xdr:colOff>
      <xdr:row>24</xdr:row>
      <xdr:rowOff>205740</xdr:rowOff>
    </xdr:from>
    <xdr:to>
      <xdr:col>5</xdr:col>
      <xdr:colOff>169273</xdr:colOff>
      <xdr:row>26</xdr:row>
      <xdr:rowOff>0</xdr:rowOff>
    </xdr:to>
    <xdr:cxnSp macro="">
      <xdr:nvCxnSpPr>
        <xdr:cNvPr id="75" name="Conector recto de flecha 74">
          <a:extLst>
            <a:ext uri="{FF2B5EF4-FFF2-40B4-BE49-F238E27FC236}">
              <a16:creationId xmlns:a16="http://schemas.microsoft.com/office/drawing/2014/main" id="{00000000-0008-0000-0200-00004B000000}"/>
            </a:ext>
          </a:extLst>
        </xdr:cNvPr>
        <xdr:cNvCxnSpPr>
          <a:stCxn id="43" idx="2"/>
          <a:endCxn id="70" idx="0"/>
        </xdr:cNvCxnSpPr>
      </xdr:nvCxnSpPr>
      <xdr:spPr>
        <a:xfrm flipH="1">
          <a:off x="1622003" y="6345283"/>
          <a:ext cx="5956" cy="262346"/>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3</xdr:col>
      <xdr:colOff>0</xdr:colOff>
      <xdr:row>14</xdr:row>
      <xdr:rowOff>220980</xdr:rowOff>
    </xdr:from>
    <xdr:to>
      <xdr:col>7</xdr:col>
      <xdr:colOff>190500</xdr:colOff>
      <xdr:row>16</xdr:row>
      <xdr:rowOff>76200</xdr:rowOff>
    </xdr:to>
    <xdr:sp macro="" textlink="">
      <xdr:nvSpPr>
        <xdr:cNvPr id="77" name="CuadroTexto 76">
          <a:extLst>
            <a:ext uri="{FF2B5EF4-FFF2-40B4-BE49-F238E27FC236}">
              <a16:creationId xmlns:a16="http://schemas.microsoft.com/office/drawing/2014/main" id="{00000000-0008-0000-0200-00004D000000}"/>
            </a:ext>
          </a:extLst>
        </xdr:cNvPr>
        <xdr:cNvSpPr txBox="1"/>
      </xdr:nvSpPr>
      <xdr:spPr>
        <a:xfrm>
          <a:off x="1074420" y="3832860"/>
          <a:ext cx="1623060" cy="312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600" b="1">
              <a:solidFill>
                <a:schemeClr val="accent6">
                  <a:lumMod val="75000"/>
                </a:schemeClr>
              </a:solidFill>
            </a:rPr>
            <a:t>HOGARES</a:t>
          </a:r>
        </a:p>
      </xdr:txBody>
    </xdr:sp>
    <xdr:clientData/>
  </xdr:twoCellAnchor>
  <xdr:twoCellAnchor>
    <xdr:from>
      <xdr:col>11</xdr:col>
      <xdr:colOff>91439</xdr:colOff>
      <xdr:row>628</xdr:row>
      <xdr:rowOff>45720</xdr:rowOff>
    </xdr:from>
    <xdr:to>
      <xdr:col>22</xdr:col>
      <xdr:colOff>106680</xdr:colOff>
      <xdr:row>630</xdr:row>
      <xdr:rowOff>160778</xdr:rowOff>
    </xdr:to>
    <xdr:pic>
      <xdr:nvPicPr>
        <xdr:cNvPr id="29" name="Imagen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86199" y="62499240"/>
          <a:ext cx="4724401" cy="572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99059</xdr:colOff>
      <xdr:row>631</xdr:row>
      <xdr:rowOff>182880</xdr:rowOff>
    </xdr:from>
    <xdr:to>
      <xdr:col>6</xdr:col>
      <xdr:colOff>320040</xdr:colOff>
      <xdr:row>632</xdr:row>
      <xdr:rowOff>198120</xdr:rowOff>
    </xdr:to>
    <xdr:pic>
      <xdr:nvPicPr>
        <xdr:cNvPr id="33" name="Imagen 32">
          <a:extLst>
            <a:ext uri="{FF2B5EF4-FFF2-40B4-BE49-F238E27FC236}">
              <a16:creationId xmlns:a16="http://schemas.microsoft.com/office/drawing/2014/main" id="{00000000-0008-0000-0200-000021000000}"/>
            </a:ext>
          </a:extLst>
        </xdr:cNvPr>
        <xdr:cNvPicPr>
          <a:picLocks noChangeAspect="1" noChangeArrowheads="1"/>
        </xdr:cNvPicPr>
      </xdr:nvPicPr>
      <xdr:blipFill rotWithShape="1">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l="39763" t="2663" r="39425" b="54728"/>
        <a:stretch/>
      </xdr:blipFill>
      <xdr:spPr bwMode="auto">
        <a:xfrm>
          <a:off x="1173479" y="63322200"/>
          <a:ext cx="937261" cy="24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167640</xdr:colOff>
      <xdr:row>633</xdr:row>
      <xdr:rowOff>167640</xdr:rowOff>
    </xdr:from>
    <xdr:to>
      <xdr:col>6</xdr:col>
      <xdr:colOff>281940</xdr:colOff>
      <xdr:row>634</xdr:row>
      <xdr:rowOff>198120</xdr:rowOff>
    </xdr:to>
    <xdr:pic>
      <xdr:nvPicPr>
        <xdr:cNvPr id="34" name="Imagen 33">
          <a:extLst>
            <a:ext uri="{FF2B5EF4-FFF2-40B4-BE49-F238E27FC236}">
              <a16:creationId xmlns:a16="http://schemas.microsoft.com/office/drawing/2014/main" id="{00000000-0008-0000-0200-000022000000}"/>
            </a:ext>
          </a:extLst>
        </xdr:cNvPr>
        <xdr:cNvPicPr>
          <a:picLocks noChangeAspect="1" noChangeArrowheads="1"/>
        </xdr:cNvPicPr>
      </xdr:nvPicPr>
      <xdr:blipFill rotWithShape="1">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l="72581" t="-1" r="9839" b="54727"/>
        <a:stretch/>
      </xdr:blipFill>
      <xdr:spPr bwMode="auto">
        <a:xfrm>
          <a:off x="1242060" y="63764160"/>
          <a:ext cx="83058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99604</xdr:colOff>
      <xdr:row>635</xdr:row>
      <xdr:rowOff>9253</xdr:rowOff>
    </xdr:from>
    <xdr:to>
      <xdr:col>5</xdr:col>
      <xdr:colOff>190499</xdr:colOff>
      <xdr:row>637</xdr:row>
      <xdr:rowOff>54973</xdr:rowOff>
    </xdr:to>
    <xdr:pic>
      <xdr:nvPicPr>
        <xdr:cNvPr id="35" name="Imagen 34">
          <a:extLst>
            <a:ext uri="{FF2B5EF4-FFF2-40B4-BE49-F238E27FC236}">
              <a16:creationId xmlns:a16="http://schemas.microsoft.com/office/drawing/2014/main" id="{00000000-0008-0000-0200-000023000000}"/>
            </a:ext>
          </a:extLst>
        </xdr:cNvPr>
        <xdr:cNvPicPr>
          <a:picLocks noChangeAspect="1" noChangeArrowheads="1"/>
        </xdr:cNvPicPr>
      </xdr:nvPicPr>
      <xdr:blipFill rotWithShape="1">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l="60806" r="31129" b="12117"/>
        <a:stretch/>
      </xdr:blipFill>
      <xdr:spPr bwMode="auto">
        <a:xfrm>
          <a:off x="1147354" y="193516432"/>
          <a:ext cx="444681" cy="508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99605</xdr:colOff>
      <xdr:row>636</xdr:row>
      <xdr:rowOff>228600</xdr:rowOff>
    </xdr:from>
    <xdr:to>
      <xdr:col>5</xdr:col>
      <xdr:colOff>137161</xdr:colOff>
      <xdr:row>639</xdr:row>
      <xdr:rowOff>42999</xdr:rowOff>
    </xdr:to>
    <xdr:pic>
      <xdr:nvPicPr>
        <xdr:cNvPr id="36" name="Imagen 35">
          <a:extLst>
            <a:ext uri="{FF2B5EF4-FFF2-40B4-BE49-F238E27FC236}">
              <a16:creationId xmlns:a16="http://schemas.microsoft.com/office/drawing/2014/main" id="{00000000-0008-0000-0200-000024000000}"/>
            </a:ext>
          </a:extLst>
        </xdr:cNvPr>
        <xdr:cNvPicPr>
          <a:picLocks noChangeAspect="1" noChangeArrowheads="1"/>
        </xdr:cNvPicPr>
      </xdr:nvPicPr>
      <xdr:blipFill rotWithShape="1">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l="93064" b="12117"/>
        <a:stretch/>
      </xdr:blipFill>
      <xdr:spPr bwMode="auto">
        <a:xfrm>
          <a:off x="1147355" y="193967100"/>
          <a:ext cx="391342" cy="508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356508</xdr:colOff>
      <xdr:row>62</xdr:row>
      <xdr:rowOff>24493</xdr:rowOff>
    </xdr:from>
    <xdr:to>
      <xdr:col>29</xdr:col>
      <xdr:colOff>110219</xdr:colOff>
      <xdr:row>77</xdr:row>
      <xdr:rowOff>176892</xdr:rowOff>
    </xdr:to>
    <xdr:pic>
      <xdr:nvPicPr>
        <xdr:cNvPr id="49" name="Imagen 48">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360965" y="15580179"/>
          <a:ext cx="12163425" cy="3581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312963</xdr:colOff>
      <xdr:row>80</xdr:row>
      <xdr:rowOff>163286</xdr:rowOff>
    </xdr:from>
    <xdr:to>
      <xdr:col>27</xdr:col>
      <xdr:colOff>1462767</xdr:colOff>
      <xdr:row>96</xdr:row>
      <xdr:rowOff>23131</xdr:rowOff>
    </xdr:to>
    <xdr:pic>
      <xdr:nvPicPr>
        <xdr:cNvPr id="54" name="Imagen 53">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843892" y="20533179"/>
          <a:ext cx="11638190" cy="3778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231321</xdr:colOff>
      <xdr:row>379</xdr:row>
      <xdr:rowOff>27214</xdr:rowOff>
    </xdr:from>
    <xdr:to>
      <xdr:col>28</xdr:col>
      <xdr:colOff>73479</xdr:colOff>
      <xdr:row>384</xdr:row>
      <xdr:rowOff>160564</xdr:rowOff>
    </xdr:to>
    <xdr:pic>
      <xdr:nvPicPr>
        <xdr:cNvPr id="55" name="Imagen 54">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408464" y="27418393"/>
          <a:ext cx="12224657" cy="1453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272143</xdr:colOff>
      <xdr:row>387</xdr:row>
      <xdr:rowOff>149679</xdr:rowOff>
    </xdr:from>
    <xdr:to>
      <xdr:col>27</xdr:col>
      <xdr:colOff>880382</xdr:colOff>
      <xdr:row>393</xdr:row>
      <xdr:rowOff>140153</xdr:rowOff>
    </xdr:to>
    <xdr:pic>
      <xdr:nvPicPr>
        <xdr:cNvPr id="56" name="Imagen 5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449286" y="29976536"/>
          <a:ext cx="11466739" cy="1460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397</xdr:row>
      <xdr:rowOff>200025</xdr:rowOff>
    </xdr:from>
    <xdr:to>
      <xdr:col>18</xdr:col>
      <xdr:colOff>209550</xdr:colOff>
      <xdr:row>419</xdr:row>
      <xdr:rowOff>171452</xdr:rowOff>
    </xdr:to>
    <xdr:pic>
      <xdr:nvPicPr>
        <xdr:cNvPr id="59" name="Imagen 58">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86025" y="31403925"/>
          <a:ext cx="5638800" cy="500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428625</xdr:colOff>
      <xdr:row>397</xdr:row>
      <xdr:rowOff>200025</xdr:rowOff>
    </xdr:from>
    <xdr:to>
      <xdr:col>27</xdr:col>
      <xdr:colOff>657225</xdr:colOff>
      <xdr:row>419</xdr:row>
      <xdr:rowOff>171452</xdr:rowOff>
    </xdr:to>
    <xdr:pic>
      <xdr:nvPicPr>
        <xdr:cNvPr id="60" name="Imagen 59">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829675" y="31403925"/>
          <a:ext cx="5257800" cy="500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10886</xdr:colOff>
      <xdr:row>55</xdr:row>
      <xdr:rowOff>446315</xdr:rowOff>
    </xdr:from>
    <xdr:to>
      <xdr:col>28</xdr:col>
      <xdr:colOff>72935</xdr:colOff>
      <xdr:row>59</xdr:row>
      <xdr:rowOff>69669</xdr:rowOff>
    </xdr:to>
    <xdr:pic>
      <xdr:nvPicPr>
        <xdr:cNvPr id="40" name="Imagen 39">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015343" y="12823372"/>
          <a:ext cx="12101649" cy="180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130630</xdr:colOff>
      <xdr:row>136</xdr:row>
      <xdr:rowOff>76199</xdr:rowOff>
    </xdr:from>
    <xdr:to>
      <xdr:col>17</xdr:col>
      <xdr:colOff>130630</xdr:colOff>
      <xdr:row>147</xdr:row>
      <xdr:rowOff>32656</xdr:rowOff>
    </xdr:to>
    <xdr:pic>
      <xdr:nvPicPr>
        <xdr:cNvPr id="62" name="Imagen 61">
          <a:extLst>
            <a:ext uri="{FF2B5EF4-FFF2-40B4-BE49-F238E27FC236}">
              <a16:creationId xmlns:a16="http://schemas.microsoft.com/office/drawing/2014/main" id="{00000000-0008-0000-0200-00003E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t="1212" r="1497"/>
        <a:stretch/>
      </xdr:blipFill>
      <xdr:spPr bwMode="auto">
        <a:xfrm>
          <a:off x="2024744" y="36848142"/>
          <a:ext cx="5584372" cy="3548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108857</xdr:colOff>
      <xdr:row>138</xdr:row>
      <xdr:rowOff>54429</xdr:rowOff>
    </xdr:from>
    <xdr:to>
      <xdr:col>34</xdr:col>
      <xdr:colOff>85639</xdr:colOff>
      <xdr:row>143</xdr:row>
      <xdr:rowOff>130628</xdr:rowOff>
    </xdr:to>
    <xdr:pic>
      <xdr:nvPicPr>
        <xdr:cNvPr id="66" name="Imagen 65">
          <a:extLst>
            <a:ext uri="{FF2B5EF4-FFF2-40B4-BE49-F238E27FC236}">
              <a16:creationId xmlns:a16="http://schemas.microsoft.com/office/drawing/2014/main" id="{00000000-0008-0000-0200-000042000000}"/>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3885" t="2204" b="5217"/>
        <a:stretch/>
      </xdr:blipFill>
      <xdr:spPr bwMode="auto">
        <a:xfrm>
          <a:off x="9535886" y="37479515"/>
          <a:ext cx="7716524" cy="1709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239486</xdr:colOff>
      <xdr:row>149</xdr:row>
      <xdr:rowOff>250371</xdr:rowOff>
    </xdr:from>
    <xdr:to>
      <xdr:col>25</xdr:col>
      <xdr:colOff>864425</xdr:colOff>
      <xdr:row>154</xdr:row>
      <xdr:rowOff>163285</xdr:rowOff>
    </xdr:to>
    <xdr:pic>
      <xdr:nvPicPr>
        <xdr:cNvPr id="67" name="Imagen 66">
          <a:extLst>
            <a:ext uri="{FF2B5EF4-FFF2-40B4-BE49-F238E27FC236}">
              <a16:creationId xmlns:a16="http://schemas.microsoft.com/office/drawing/2014/main" id="{00000000-0008-0000-0200-000043000000}"/>
            </a:ext>
          </a:extLst>
        </xdr:cNvPr>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r="2425" b="3508"/>
        <a:stretch/>
      </xdr:blipFill>
      <xdr:spPr bwMode="auto">
        <a:xfrm>
          <a:off x="6302829" y="41267742"/>
          <a:ext cx="5937167" cy="1545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250370</xdr:colOff>
      <xdr:row>218</xdr:row>
      <xdr:rowOff>163285</xdr:rowOff>
    </xdr:from>
    <xdr:to>
      <xdr:col>25</xdr:col>
      <xdr:colOff>730431</xdr:colOff>
      <xdr:row>229</xdr:row>
      <xdr:rowOff>152399</xdr:rowOff>
    </xdr:to>
    <xdr:pic>
      <xdr:nvPicPr>
        <xdr:cNvPr id="68" name="Imagen 67">
          <a:extLst>
            <a:ext uri="{FF2B5EF4-FFF2-40B4-BE49-F238E27FC236}">
              <a16:creationId xmlns:a16="http://schemas.microsoft.com/office/drawing/2014/main" id="{00000000-0008-0000-0200-000044000000}"/>
            </a:ext>
          </a:extLst>
        </xdr:cNvPr>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4391" t="3453" b="1870"/>
        <a:stretch/>
      </xdr:blipFill>
      <xdr:spPr bwMode="auto">
        <a:xfrm>
          <a:off x="5943599" y="52937228"/>
          <a:ext cx="6162403" cy="358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355467</xdr:colOff>
      <xdr:row>239</xdr:row>
      <xdr:rowOff>322731</xdr:rowOff>
    </xdr:from>
    <xdr:to>
      <xdr:col>27</xdr:col>
      <xdr:colOff>770341</xdr:colOff>
      <xdr:row>254</xdr:row>
      <xdr:rowOff>36756</xdr:rowOff>
    </xdr:to>
    <xdr:pic>
      <xdr:nvPicPr>
        <xdr:cNvPr id="69" name="Imagen 68">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946267" y="75217806"/>
          <a:ext cx="11254324" cy="4571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293913</xdr:colOff>
      <xdr:row>47</xdr:row>
      <xdr:rowOff>130629</xdr:rowOff>
    </xdr:from>
    <xdr:to>
      <xdr:col>27</xdr:col>
      <xdr:colOff>1174568</xdr:colOff>
      <xdr:row>52</xdr:row>
      <xdr:rowOff>222069</xdr:rowOff>
    </xdr:to>
    <xdr:pic>
      <xdr:nvPicPr>
        <xdr:cNvPr id="47" name="Imagen 46">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558142" y="10537372"/>
          <a:ext cx="12103826" cy="1234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26895</xdr:colOff>
      <xdr:row>174</xdr:row>
      <xdr:rowOff>322729</xdr:rowOff>
    </xdr:from>
    <xdr:to>
      <xdr:col>29</xdr:col>
      <xdr:colOff>324778</xdr:colOff>
      <xdr:row>203</xdr:row>
      <xdr:rowOff>41877</xdr:rowOff>
    </xdr:to>
    <xdr:pic>
      <xdr:nvPicPr>
        <xdr:cNvPr id="48" name="Imagen 47">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204448" y="52945553"/>
          <a:ext cx="11503125" cy="9338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506186</xdr:colOff>
      <xdr:row>290</xdr:row>
      <xdr:rowOff>268061</xdr:rowOff>
    </xdr:from>
    <xdr:to>
      <xdr:col>28</xdr:col>
      <xdr:colOff>317319</xdr:colOff>
      <xdr:row>300</xdr:row>
      <xdr:rowOff>32929</xdr:rowOff>
    </xdr:to>
    <xdr:pic>
      <xdr:nvPicPr>
        <xdr:cNvPr id="57" name="Imagen 56">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030436" y="91679486"/>
          <a:ext cx="11269708" cy="3003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391886</xdr:colOff>
      <xdr:row>316</xdr:row>
      <xdr:rowOff>10886</xdr:rowOff>
    </xdr:from>
    <xdr:to>
      <xdr:col>27</xdr:col>
      <xdr:colOff>1371600</xdr:colOff>
      <xdr:row>322</xdr:row>
      <xdr:rowOff>26123</xdr:rowOff>
    </xdr:to>
    <xdr:pic>
      <xdr:nvPicPr>
        <xdr:cNvPr id="58" name="Imagen 57">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396343" y="95979343"/>
          <a:ext cx="11462657" cy="1974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489857</xdr:colOff>
      <xdr:row>652</xdr:row>
      <xdr:rowOff>54429</xdr:rowOff>
    </xdr:from>
    <xdr:to>
      <xdr:col>28</xdr:col>
      <xdr:colOff>315685</xdr:colOff>
      <xdr:row>657</xdr:row>
      <xdr:rowOff>185059</xdr:rowOff>
    </xdr:to>
    <xdr:pic>
      <xdr:nvPicPr>
        <xdr:cNvPr id="63" name="Imagen 62">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071257" y="108585000"/>
          <a:ext cx="11288485" cy="128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272143</xdr:colOff>
      <xdr:row>688</xdr:row>
      <xdr:rowOff>206829</xdr:rowOff>
    </xdr:from>
    <xdr:to>
      <xdr:col>29</xdr:col>
      <xdr:colOff>348343</xdr:colOff>
      <xdr:row>697</xdr:row>
      <xdr:rowOff>17417</xdr:rowOff>
    </xdr:to>
    <xdr:pic>
      <xdr:nvPicPr>
        <xdr:cNvPr id="64" name="Imagen 63">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474029" y="119840829"/>
          <a:ext cx="11288485" cy="1884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283029</xdr:colOff>
      <xdr:row>346</xdr:row>
      <xdr:rowOff>32657</xdr:rowOff>
    </xdr:from>
    <xdr:to>
      <xdr:col>29</xdr:col>
      <xdr:colOff>349704</xdr:colOff>
      <xdr:row>355</xdr:row>
      <xdr:rowOff>101237</xdr:rowOff>
    </xdr:to>
    <xdr:pic>
      <xdr:nvPicPr>
        <xdr:cNvPr id="71" name="Imagen 70">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484915" y="123792343"/>
          <a:ext cx="11288485" cy="2125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315686</xdr:colOff>
      <xdr:row>360</xdr:row>
      <xdr:rowOff>206829</xdr:rowOff>
    </xdr:from>
    <xdr:to>
      <xdr:col>28</xdr:col>
      <xdr:colOff>132806</xdr:colOff>
      <xdr:row>371</xdr:row>
      <xdr:rowOff>53339</xdr:rowOff>
    </xdr:to>
    <xdr:pic>
      <xdr:nvPicPr>
        <xdr:cNvPr id="73" name="Imagen 72">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897086" y="127754743"/>
          <a:ext cx="11279777" cy="2894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152399</xdr:colOff>
      <xdr:row>471</xdr:row>
      <xdr:rowOff>0</xdr:rowOff>
    </xdr:from>
    <xdr:to>
      <xdr:col>27</xdr:col>
      <xdr:colOff>980674</xdr:colOff>
      <xdr:row>481</xdr:row>
      <xdr:rowOff>121919</xdr:rowOff>
    </xdr:to>
    <xdr:pic>
      <xdr:nvPicPr>
        <xdr:cNvPr id="74" name="Imagen 73">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137646" y="160916471"/>
          <a:ext cx="11306736" cy="2452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188259</xdr:colOff>
      <xdr:row>517</xdr:row>
      <xdr:rowOff>53788</xdr:rowOff>
    </xdr:from>
    <xdr:to>
      <xdr:col>27</xdr:col>
      <xdr:colOff>649494</xdr:colOff>
      <xdr:row>545</xdr:row>
      <xdr:rowOff>154641</xdr:rowOff>
    </xdr:to>
    <xdr:pic>
      <xdr:nvPicPr>
        <xdr:cNvPr id="76" name="Imagen 75">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2805953" y="175403435"/>
          <a:ext cx="11308529" cy="6627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215153</xdr:colOff>
      <xdr:row>576</xdr:row>
      <xdr:rowOff>179295</xdr:rowOff>
    </xdr:from>
    <xdr:to>
      <xdr:col>27</xdr:col>
      <xdr:colOff>674595</xdr:colOff>
      <xdr:row>588</xdr:row>
      <xdr:rowOff>170331</xdr:rowOff>
    </xdr:to>
    <xdr:pic>
      <xdr:nvPicPr>
        <xdr:cNvPr id="79" name="Imagen 78">
          <a:extLst>
            <a:ext uri="{FF2B5EF4-FFF2-40B4-BE49-F238E27FC236}">
              <a16:creationId xmlns:a16="http://schemas.microsoft.com/office/drawing/2014/main" id="{00000000-0008-0000-0200-00004F000000}"/>
            </a:ext>
          </a:extLst>
        </xdr:cNvPr>
        <xdr:cNvPicPr>
          <a:picLocks noChangeAspect="1" noChangeArrowheads="1"/>
        </xdr:cNvPicPr>
      </xdr:nvPicPr>
      <xdr:blipFill rotWithShape="1">
        <a:blip xmlns:r="http://schemas.openxmlformats.org/officeDocument/2006/relationships" r:embed="rId30">
          <a:extLst>
            <a:ext uri="{28A0092B-C50C-407E-A947-70E740481C1C}">
              <a14:useLocalDpi xmlns:a14="http://schemas.microsoft.com/office/drawing/2010/main" val="0"/>
            </a:ext>
          </a:extLst>
        </a:blip>
        <a:srcRect b="37305"/>
        <a:stretch/>
      </xdr:blipFill>
      <xdr:spPr bwMode="auto">
        <a:xfrm>
          <a:off x="2832847" y="190150377"/>
          <a:ext cx="11306736" cy="2788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224117</xdr:colOff>
      <xdr:row>609</xdr:row>
      <xdr:rowOff>44823</xdr:rowOff>
    </xdr:from>
    <xdr:to>
      <xdr:col>27</xdr:col>
      <xdr:colOff>692075</xdr:colOff>
      <xdr:row>618</xdr:row>
      <xdr:rowOff>98163</xdr:rowOff>
    </xdr:to>
    <xdr:pic>
      <xdr:nvPicPr>
        <xdr:cNvPr id="81" name="Imagen 80">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841811" y="197860023"/>
          <a:ext cx="11315252" cy="2151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185057</xdr:colOff>
      <xdr:row>327</xdr:row>
      <xdr:rowOff>304800</xdr:rowOff>
    </xdr:from>
    <xdr:to>
      <xdr:col>28</xdr:col>
      <xdr:colOff>10885</xdr:colOff>
      <xdr:row>338</xdr:row>
      <xdr:rowOff>199209</xdr:rowOff>
    </xdr:to>
    <xdr:pic>
      <xdr:nvPicPr>
        <xdr:cNvPr id="82" name="Imagen 81">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766457" y="102706714"/>
          <a:ext cx="11288485" cy="3704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293914</xdr:colOff>
      <xdr:row>447</xdr:row>
      <xdr:rowOff>87086</xdr:rowOff>
    </xdr:from>
    <xdr:to>
      <xdr:col>27</xdr:col>
      <xdr:colOff>1141911</xdr:colOff>
      <xdr:row>457</xdr:row>
      <xdr:rowOff>87087</xdr:rowOff>
    </xdr:to>
    <xdr:pic>
      <xdr:nvPicPr>
        <xdr:cNvPr id="85" name="Imagen 84">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3298371" y="134395029"/>
          <a:ext cx="11330940" cy="2547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32656</xdr:colOff>
      <xdr:row>43</xdr:row>
      <xdr:rowOff>119744</xdr:rowOff>
    </xdr:from>
    <xdr:to>
      <xdr:col>35</xdr:col>
      <xdr:colOff>163286</xdr:colOff>
      <xdr:row>45</xdr:row>
      <xdr:rowOff>217714</xdr:rowOff>
    </xdr:to>
    <xdr:sp macro="" textlink="">
      <xdr:nvSpPr>
        <xdr:cNvPr id="86" name="Rectángulo 85">
          <a:extLst>
            <a:ext uri="{FF2B5EF4-FFF2-40B4-BE49-F238E27FC236}">
              <a16:creationId xmlns:a16="http://schemas.microsoft.com/office/drawing/2014/main" id="{00000000-0008-0000-0200-000056000000}"/>
            </a:ext>
          </a:extLst>
        </xdr:cNvPr>
        <xdr:cNvSpPr/>
      </xdr:nvSpPr>
      <xdr:spPr>
        <a:xfrm>
          <a:off x="1491342" y="11952515"/>
          <a:ext cx="16110858" cy="6966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800" b="1"/>
            <a:t>Primer paso: Diligenciar la hoja "Datos Generales"</a:t>
          </a:r>
        </a:p>
      </xdr:txBody>
    </xdr:sp>
    <xdr:clientData/>
  </xdr:twoCellAnchor>
  <xdr:twoCellAnchor>
    <xdr:from>
      <xdr:col>3</xdr:col>
      <xdr:colOff>0</xdr:colOff>
      <xdr:row>43</xdr:row>
      <xdr:rowOff>0</xdr:rowOff>
    </xdr:from>
    <xdr:to>
      <xdr:col>5</xdr:col>
      <xdr:colOff>184136</xdr:colOff>
      <xdr:row>46</xdr:row>
      <xdr:rowOff>21771</xdr:rowOff>
    </xdr:to>
    <xdr:sp macro="" textlink="">
      <xdr:nvSpPr>
        <xdr:cNvPr id="87" name="Elipse 86">
          <a:extLst>
            <a:ext uri="{FF2B5EF4-FFF2-40B4-BE49-F238E27FC236}">
              <a16:creationId xmlns:a16="http://schemas.microsoft.com/office/drawing/2014/main" id="{00000000-0008-0000-0200-000057000000}"/>
            </a:ext>
          </a:extLst>
        </xdr:cNvPr>
        <xdr:cNvSpPr/>
      </xdr:nvSpPr>
      <xdr:spPr>
        <a:xfrm>
          <a:off x="838200" y="11832771"/>
          <a:ext cx="804622" cy="892629"/>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2800"/>
            <a:t>1</a:t>
          </a:r>
        </a:p>
      </xdr:txBody>
    </xdr:sp>
    <xdr:clientData/>
  </xdr:twoCellAnchor>
  <xdr:twoCellAnchor>
    <xdr:from>
      <xdr:col>4</xdr:col>
      <xdr:colOff>141515</xdr:colOff>
      <xdr:row>7</xdr:row>
      <xdr:rowOff>435430</xdr:rowOff>
    </xdr:from>
    <xdr:to>
      <xdr:col>34</xdr:col>
      <xdr:colOff>174173</xdr:colOff>
      <xdr:row>10</xdr:row>
      <xdr:rowOff>141515</xdr:rowOff>
    </xdr:to>
    <xdr:sp macro="" textlink="">
      <xdr:nvSpPr>
        <xdr:cNvPr id="88" name="Rectángulo 87">
          <a:extLst>
            <a:ext uri="{FF2B5EF4-FFF2-40B4-BE49-F238E27FC236}">
              <a16:creationId xmlns:a16="http://schemas.microsoft.com/office/drawing/2014/main" id="{00000000-0008-0000-0200-000058000000}"/>
            </a:ext>
          </a:extLst>
        </xdr:cNvPr>
        <xdr:cNvSpPr/>
      </xdr:nvSpPr>
      <xdr:spPr>
        <a:xfrm>
          <a:off x="1230086" y="2667001"/>
          <a:ext cx="16110858" cy="69668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2800" b="1"/>
            <a:t>Descripción</a:t>
          </a:r>
          <a:r>
            <a:rPr lang="es-ES" sz="2800" b="1" baseline="0"/>
            <a:t> general del esquema</a:t>
          </a:r>
          <a:endParaRPr lang="es-ES" sz="2800" b="1"/>
        </a:p>
      </xdr:txBody>
    </xdr:sp>
    <xdr:clientData/>
  </xdr:twoCellAnchor>
  <xdr:twoCellAnchor>
    <xdr:from>
      <xdr:col>4</xdr:col>
      <xdr:colOff>195943</xdr:colOff>
      <xdr:row>97</xdr:row>
      <xdr:rowOff>206831</xdr:rowOff>
    </xdr:from>
    <xdr:to>
      <xdr:col>34</xdr:col>
      <xdr:colOff>228601</xdr:colOff>
      <xdr:row>100</xdr:row>
      <xdr:rowOff>54430</xdr:rowOff>
    </xdr:to>
    <xdr:sp macro="" textlink="">
      <xdr:nvSpPr>
        <xdr:cNvPr id="90" name="Rectángulo 89">
          <a:extLst>
            <a:ext uri="{FF2B5EF4-FFF2-40B4-BE49-F238E27FC236}">
              <a16:creationId xmlns:a16="http://schemas.microsoft.com/office/drawing/2014/main" id="{00000000-0008-0000-0200-00005A000000}"/>
            </a:ext>
          </a:extLst>
        </xdr:cNvPr>
        <xdr:cNvSpPr/>
      </xdr:nvSpPr>
      <xdr:spPr>
        <a:xfrm>
          <a:off x="1284514" y="28096031"/>
          <a:ext cx="16110858" cy="7293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800" b="1"/>
            <a:t>Segundo paso: Diligenciar la hoja "Datos Recicladores"</a:t>
          </a:r>
        </a:p>
      </xdr:txBody>
    </xdr:sp>
    <xdr:clientData/>
  </xdr:twoCellAnchor>
  <xdr:twoCellAnchor>
    <xdr:from>
      <xdr:col>2</xdr:col>
      <xdr:colOff>43543</xdr:colOff>
      <xdr:row>97</xdr:row>
      <xdr:rowOff>87087</xdr:rowOff>
    </xdr:from>
    <xdr:to>
      <xdr:col>4</xdr:col>
      <xdr:colOff>347423</xdr:colOff>
      <xdr:row>100</xdr:row>
      <xdr:rowOff>74348</xdr:rowOff>
    </xdr:to>
    <xdr:sp macro="" textlink="">
      <xdr:nvSpPr>
        <xdr:cNvPr id="91" name="Elipse 90">
          <a:extLst>
            <a:ext uri="{FF2B5EF4-FFF2-40B4-BE49-F238E27FC236}">
              <a16:creationId xmlns:a16="http://schemas.microsoft.com/office/drawing/2014/main" id="{00000000-0008-0000-0200-00005B000000}"/>
            </a:ext>
          </a:extLst>
        </xdr:cNvPr>
        <xdr:cNvSpPr/>
      </xdr:nvSpPr>
      <xdr:spPr>
        <a:xfrm>
          <a:off x="631372" y="27976287"/>
          <a:ext cx="804622" cy="869004"/>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2800"/>
            <a:t>2</a:t>
          </a:r>
        </a:p>
      </xdr:txBody>
    </xdr:sp>
    <xdr:clientData/>
  </xdr:twoCellAnchor>
  <xdr:twoCellAnchor>
    <xdr:from>
      <xdr:col>5</xdr:col>
      <xdr:colOff>0</xdr:colOff>
      <xdr:row>374</xdr:row>
      <xdr:rowOff>186419</xdr:rowOff>
    </xdr:from>
    <xdr:to>
      <xdr:col>35</xdr:col>
      <xdr:colOff>127908</xdr:colOff>
      <xdr:row>375</xdr:row>
      <xdr:rowOff>415018</xdr:rowOff>
    </xdr:to>
    <xdr:sp macro="" textlink="">
      <xdr:nvSpPr>
        <xdr:cNvPr id="92" name="Rectángulo 91">
          <a:extLst>
            <a:ext uri="{FF2B5EF4-FFF2-40B4-BE49-F238E27FC236}">
              <a16:creationId xmlns:a16="http://schemas.microsoft.com/office/drawing/2014/main" id="{00000000-0008-0000-0200-00005C000000}"/>
            </a:ext>
          </a:extLst>
        </xdr:cNvPr>
        <xdr:cNvSpPr/>
      </xdr:nvSpPr>
      <xdr:spPr>
        <a:xfrm>
          <a:off x="1428750" y="117991619"/>
          <a:ext cx="16025133" cy="7238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800" b="1"/>
            <a:t>Tercer paso: Diligenciar la hoja "Datos Prestador"</a:t>
          </a:r>
        </a:p>
      </xdr:txBody>
    </xdr:sp>
    <xdr:clientData/>
  </xdr:twoCellAnchor>
  <xdr:twoCellAnchor>
    <xdr:from>
      <xdr:col>2</xdr:col>
      <xdr:colOff>209550</xdr:colOff>
      <xdr:row>374</xdr:row>
      <xdr:rowOff>66675</xdr:rowOff>
    </xdr:from>
    <xdr:to>
      <xdr:col>5</xdr:col>
      <xdr:colOff>151480</xdr:colOff>
      <xdr:row>375</xdr:row>
      <xdr:rowOff>434936</xdr:rowOff>
    </xdr:to>
    <xdr:sp macro="" textlink="">
      <xdr:nvSpPr>
        <xdr:cNvPr id="93" name="Elipse 92">
          <a:extLst>
            <a:ext uri="{FF2B5EF4-FFF2-40B4-BE49-F238E27FC236}">
              <a16:creationId xmlns:a16="http://schemas.microsoft.com/office/drawing/2014/main" id="{00000000-0008-0000-0200-00005D000000}"/>
            </a:ext>
          </a:extLst>
        </xdr:cNvPr>
        <xdr:cNvSpPr/>
      </xdr:nvSpPr>
      <xdr:spPr>
        <a:xfrm>
          <a:off x="781050" y="117871875"/>
          <a:ext cx="799180" cy="863561"/>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2800"/>
            <a:t>3</a:t>
          </a:r>
        </a:p>
      </xdr:txBody>
    </xdr:sp>
    <xdr:clientData/>
  </xdr:twoCellAnchor>
  <xdr:twoCellAnchor>
    <xdr:from>
      <xdr:col>5</xdr:col>
      <xdr:colOff>285750</xdr:colOff>
      <xdr:row>709</xdr:row>
      <xdr:rowOff>119744</xdr:rowOff>
    </xdr:from>
    <xdr:to>
      <xdr:col>36</xdr:col>
      <xdr:colOff>51708</xdr:colOff>
      <xdr:row>712</xdr:row>
      <xdr:rowOff>62593</xdr:rowOff>
    </xdr:to>
    <xdr:sp macro="" textlink="">
      <xdr:nvSpPr>
        <xdr:cNvPr id="94" name="Rectángulo 93">
          <a:extLst>
            <a:ext uri="{FF2B5EF4-FFF2-40B4-BE49-F238E27FC236}">
              <a16:creationId xmlns:a16="http://schemas.microsoft.com/office/drawing/2014/main" id="{00000000-0008-0000-0200-00005E000000}"/>
            </a:ext>
          </a:extLst>
        </xdr:cNvPr>
        <xdr:cNvSpPr/>
      </xdr:nvSpPr>
      <xdr:spPr>
        <a:xfrm>
          <a:off x="1714500" y="204392894"/>
          <a:ext cx="16025133" cy="7238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800" b="1"/>
            <a:t>Cuarto paso: Consultar</a:t>
          </a:r>
          <a:r>
            <a:rPr lang="es-ES" sz="2800" b="1" baseline="0"/>
            <a:t> los resultados detallados del escenario en la hoja "Resultados"</a:t>
          </a:r>
          <a:endParaRPr lang="es-ES" sz="2800" b="1"/>
        </a:p>
      </xdr:txBody>
    </xdr:sp>
    <xdr:clientData/>
  </xdr:twoCellAnchor>
  <xdr:twoCellAnchor>
    <xdr:from>
      <xdr:col>4</xdr:col>
      <xdr:colOff>0</xdr:colOff>
      <xdr:row>709</xdr:row>
      <xdr:rowOff>0</xdr:rowOff>
    </xdr:from>
    <xdr:to>
      <xdr:col>5</xdr:col>
      <xdr:colOff>437230</xdr:colOff>
      <xdr:row>712</xdr:row>
      <xdr:rowOff>82511</xdr:rowOff>
    </xdr:to>
    <xdr:sp macro="" textlink="">
      <xdr:nvSpPr>
        <xdr:cNvPr id="95" name="Elipse 94">
          <a:extLst>
            <a:ext uri="{FF2B5EF4-FFF2-40B4-BE49-F238E27FC236}">
              <a16:creationId xmlns:a16="http://schemas.microsoft.com/office/drawing/2014/main" id="{00000000-0008-0000-0200-00005F000000}"/>
            </a:ext>
          </a:extLst>
        </xdr:cNvPr>
        <xdr:cNvSpPr/>
      </xdr:nvSpPr>
      <xdr:spPr>
        <a:xfrm>
          <a:off x="1066800" y="204273150"/>
          <a:ext cx="799180" cy="863561"/>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2800"/>
            <a:t>4</a:t>
          </a:r>
        </a:p>
      </xdr:txBody>
    </xdr:sp>
    <xdr:clientData/>
  </xdr:twoCellAnchor>
  <xdr:twoCellAnchor editAs="oneCell">
    <xdr:from>
      <xdr:col>10</xdr:col>
      <xdr:colOff>581025</xdr:colOff>
      <xdr:row>715</xdr:row>
      <xdr:rowOff>133350</xdr:rowOff>
    </xdr:from>
    <xdr:to>
      <xdr:col>23</xdr:col>
      <xdr:colOff>43815</xdr:colOff>
      <xdr:row>735</xdr:row>
      <xdr:rowOff>49531</xdr:rowOff>
    </xdr:to>
    <xdr:pic>
      <xdr:nvPicPr>
        <xdr:cNvPr id="96" name="Imagen 9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105275" y="206216250"/>
          <a:ext cx="6273165" cy="448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739</xdr:row>
      <xdr:rowOff>219075</xdr:rowOff>
    </xdr:from>
    <xdr:to>
      <xdr:col>24</xdr:col>
      <xdr:colOff>299085</xdr:colOff>
      <xdr:row>762</xdr:row>
      <xdr:rowOff>226696</xdr:rowOff>
    </xdr:to>
    <xdr:pic>
      <xdr:nvPicPr>
        <xdr:cNvPr id="98" name="Imagen 97">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095750" y="212121750"/>
          <a:ext cx="7061835" cy="5494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609600</xdr:colOff>
      <xdr:row>767</xdr:row>
      <xdr:rowOff>171450</xdr:rowOff>
    </xdr:from>
    <xdr:to>
      <xdr:col>24</xdr:col>
      <xdr:colOff>337185</xdr:colOff>
      <xdr:row>777</xdr:row>
      <xdr:rowOff>171451</xdr:rowOff>
    </xdr:to>
    <xdr:pic>
      <xdr:nvPicPr>
        <xdr:cNvPr id="99" name="Imagen 98">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133850" y="219198825"/>
          <a:ext cx="7061835"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161925</xdr:colOff>
      <xdr:row>781</xdr:row>
      <xdr:rowOff>133350</xdr:rowOff>
    </xdr:from>
    <xdr:to>
      <xdr:col>23</xdr:col>
      <xdr:colOff>413385</xdr:colOff>
      <xdr:row>792</xdr:row>
      <xdr:rowOff>255270</xdr:rowOff>
    </xdr:to>
    <xdr:pic>
      <xdr:nvPicPr>
        <xdr:cNvPr id="100" name="Imagen 99">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686175" y="223847025"/>
          <a:ext cx="7061835" cy="3198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9525</xdr:colOff>
      <xdr:row>796</xdr:row>
      <xdr:rowOff>66675</xdr:rowOff>
    </xdr:from>
    <xdr:to>
      <xdr:col>23</xdr:col>
      <xdr:colOff>260985</xdr:colOff>
      <xdr:row>804</xdr:row>
      <xdr:rowOff>272415</xdr:rowOff>
    </xdr:to>
    <xdr:pic>
      <xdr:nvPicPr>
        <xdr:cNvPr id="101" name="Imagen 100">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533775" y="228304725"/>
          <a:ext cx="7061835" cy="2567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66675</xdr:colOff>
      <xdr:row>809</xdr:row>
      <xdr:rowOff>95250</xdr:rowOff>
    </xdr:from>
    <xdr:to>
      <xdr:col>23</xdr:col>
      <xdr:colOff>318135</xdr:colOff>
      <xdr:row>813</xdr:row>
      <xdr:rowOff>118110</xdr:rowOff>
    </xdr:to>
    <xdr:pic>
      <xdr:nvPicPr>
        <xdr:cNvPr id="102" name="Imagen 101">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3590925" y="232076625"/>
          <a:ext cx="7061835"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19050</xdr:colOff>
      <xdr:row>817</xdr:row>
      <xdr:rowOff>110219</xdr:rowOff>
    </xdr:from>
    <xdr:to>
      <xdr:col>36</xdr:col>
      <xdr:colOff>223158</xdr:colOff>
      <xdr:row>820</xdr:row>
      <xdr:rowOff>148318</xdr:rowOff>
    </xdr:to>
    <xdr:sp macro="" textlink="">
      <xdr:nvSpPr>
        <xdr:cNvPr id="103" name="Rectángulo 102">
          <a:extLst>
            <a:ext uri="{FF2B5EF4-FFF2-40B4-BE49-F238E27FC236}">
              <a16:creationId xmlns:a16="http://schemas.microsoft.com/office/drawing/2014/main" id="{00000000-0008-0000-0200-000067000000}"/>
            </a:ext>
          </a:extLst>
        </xdr:cNvPr>
        <xdr:cNvSpPr/>
      </xdr:nvSpPr>
      <xdr:spPr>
        <a:xfrm>
          <a:off x="1885950" y="233920394"/>
          <a:ext cx="16025133" cy="7238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800" b="1"/>
            <a:t>Quinto paso: Verificar</a:t>
          </a:r>
          <a:r>
            <a:rPr lang="es-ES" sz="2800" b="1" baseline="0"/>
            <a:t> los resultados comparados para distintos escenarios</a:t>
          </a:r>
          <a:endParaRPr lang="es-ES" sz="2800" b="1"/>
        </a:p>
      </xdr:txBody>
    </xdr:sp>
    <xdr:clientData/>
  </xdr:twoCellAnchor>
  <xdr:twoCellAnchor>
    <xdr:from>
      <xdr:col>4</xdr:col>
      <xdr:colOff>171450</xdr:colOff>
      <xdr:row>816</xdr:row>
      <xdr:rowOff>219075</xdr:rowOff>
    </xdr:from>
    <xdr:to>
      <xdr:col>6</xdr:col>
      <xdr:colOff>170530</xdr:colOff>
      <xdr:row>820</xdr:row>
      <xdr:rowOff>168236</xdr:rowOff>
    </xdr:to>
    <xdr:sp macro="" textlink="">
      <xdr:nvSpPr>
        <xdr:cNvPr id="104" name="Elipse 103">
          <a:extLst>
            <a:ext uri="{FF2B5EF4-FFF2-40B4-BE49-F238E27FC236}">
              <a16:creationId xmlns:a16="http://schemas.microsoft.com/office/drawing/2014/main" id="{00000000-0008-0000-0200-000068000000}"/>
            </a:ext>
          </a:extLst>
        </xdr:cNvPr>
        <xdr:cNvSpPr/>
      </xdr:nvSpPr>
      <xdr:spPr>
        <a:xfrm>
          <a:off x="1238250" y="233800650"/>
          <a:ext cx="799180" cy="863561"/>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2800"/>
            <a:t>5</a:t>
          </a:r>
        </a:p>
      </xdr:txBody>
    </xdr:sp>
    <xdr:clientData/>
  </xdr:twoCellAnchor>
  <xdr:twoCellAnchor editAs="oneCell">
    <xdr:from>
      <xdr:col>11</xdr:col>
      <xdr:colOff>304800</xdr:colOff>
      <xdr:row>826</xdr:row>
      <xdr:rowOff>114300</xdr:rowOff>
    </xdr:from>
    <xdr:to>
      <xdr:col>28</xdr:col>
      <xdr:colOff>42827</xdr:colOff>
      <xdr:row>838</xdr:row>
      <xdr:rowOff>126730</xdr:rowOff>
    </xdr:to>
    <xdr:pic>
      <xdr:nvPicPr>
        <xdr:cNvPr id="19" name="Imagen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40"/>
        <a:stretch>
          <a:fillRect/>
        </a:stretch>
      </xdr:blipFill>
      <xdr:spPr>
        <a:xfrm>
          <a:off x="4448175" y="236391450"/>
          <a:ext cx="10577477" cy="2755631"/>
        </a:xfrm>
        <a:prstGeom prst="rect">
          <a:avLst/>
        </a:prstGeom>
      </xdr:spPr>
    </xdr:pic>
    <xdr:clientData/>
  </xdr:twoCellAnchor>
  <xdr:twoCellAnchor>
    <xdr:from>
      <xdr:col>6</xdr:col>
      <xdr:colOff>95250</xdr:colOff>
      <xdr:row>841</xdr:row>
      <xdr:rowOff>167369</xdr:rowOff>
    </xdr:from>
    <xdr:to>
      <xdr:col>37</xdr:col>
      <xdr:colOff>13608</xdr:colOff>
      <xdr:row>844</xdr:row>
      <xdr:rowOff>205468</xdr:rowOff>
    </xdr:to>
    <xdr:sp macro="" textlink="">
      <xdr:nvSpPr>
        <xdr:cNvPr id="105" name="Rectángulo 104">
          <a:extLst>
            <a:ext uri="{FF2B5EF4-FFF2-40B4-BE49-F238E27FC236}">
              <a16:creationId xmlns:a16="http://schemas.microsoft.com/office/drawing/2014/main" id="{00000000-0008-0000-0200-000069000000}"/>
            </a:ext>
          </a:extLst>
        </xdr:cNvPr>
        <xdr:cNvSpPr/>
      </xdr:nvSpPr>
      <xdr:spPr>
        <a:xfrm>
          <a:off x="1962150" y="239873519"/>
          <a:ext cx="16025133" cy="7238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800" b="1"/>
            <a:t>Sexto paso: Verificar</a:t>
          </a:r>
          <a:r>
            <a:rPr lang="es-ES" sz="2800" b="1" baseline="0"/>
            <a:t> los resultados comparados con el escenario de referencia</a:t>
          </a:r>
          <a:endParaRPr lang="es-ES" sz="2800" b="1"/>
        </a:p>
      </xdr:txBody>
    </xdr:sp>
    <xdr:clientData/>
  </xdr:twoCellAnchor>
  <xdr:twoCellAnchor>
    <xdr:from>
      <xdr:col>4</xdr:col>
      <xdr:colOff>247650</xdr:colOff>
      <xdr:row>841</xdr:row>
      <xdr:rowOff>47625</xdr:rowOff>
    </xdr:from>
    <xdr:to>
      <xdr:col>6</xdr:col>
      <xdr:colOff>246730</xdr:colOff>
      <xdr:row>844</xdr:row>
      <xdr:rowOff>225386</xdr:rowOff>
    </xdr:to>
    <xdr:sp macro="" textlink="">
      <xdr:nvSpPr>
        <xdr:cNvPr id="106" name="Elipse 105">
          <a:extLst>
            <a:ext uri="{FF2B5EF4-FFF2-40B4-BE49-F238E27FC236}">
              <a16:creationId xmlns:a16="http://schemas.microsoft.com/office/drawing/2014/main" id="{00000000-0008-0000-0200-00006A000000}"/>
            </a:ext>
          </a:extLst>
        </xdr:cNvPr>
        <xdr:cNvSpPr/>
      </xdr:nvSpPr>
      <xdr:spPr>
        <a:xfrm>
          <a:off x="1314450" y="239753775"/>
          <a:ext cx="799180" cy="863561"/>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ES" sz="2800"/>
            <a:t>6</a:t>
          </a:r>
        </a:p>
      </xdr:txBody>
    </xdr:sp>
    <xdr:clientData/>
  </xdr:twoCellAnchor>
  <xdr:twoCellAnchor editAs="oneCell">
    <xdr:from>
      <xdr:col>16</xdr:col>
      <xdr:colOff>333375</xdr:colOff>
      <xdr:row>850</xdr:row>
      <xdr:rowOff>57150</xdr:rowOff>
    </xdr:from>
    <xdr:to>
      <xdr:col>26</xdr:col>
      <xdr:colOff>441960</xdr:colOff>
      <xdr:row>859</xdr:row>
      <xdr:rowOff>201929</xdr:rowOff>
    </xdr:to>
    <xdr:pic>
      <xdr:nvPicPr>
        <xdr:cNvPr id="107" name="Imagen 106">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6762750" y="242325525"/>
          <a:ext cx="659511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1</xdr:row>
      <xdr:rowOff>19050</xdr:rowOff>
    </xdr:from>
    <xdr:to>
      <xdr:col>3</xdr:col>
      <xdr:colOff>1016212</xdr:colOff>
      <xdr:row>5</xdr:row>
      <xdr:rowOff>27517</xdr:rowOff>
    </xdr:to>
    <xdr:pic>
      <xdr:nvPicPr>
        <xdr:cNvPr id="2" name="1 Imagen" descr="Resultado de imagen para inter american development bank">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684" b="36842"/>
        <a:stretch/>
      </xdr:blipFill>
      <xdr:spPr bwMode="auto">
        <a:xfrm>
          <a:off x="171450" y="209550"/>
          <a:ext cx="18097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95250</xdr:colOff>
          <xdr:row>31</xdr:row>
          <xdr:rowOff>66675</xdr:rowOff>
        </xdr:from>
        <xdr:to>
          <xdr:col>5</xdr:col>
          <xdr:colOff>419100</xdr:colOff>
          <xdr:row>31</xdr:row>
          <xdr:rowOff>371475</xdr:rowOff>
        </xdr:to>
        <xdr:sp macro="" textlink="">
          <xdr:nvSpPr>
            <xdr:cNvPr id="1032" name="OptionButton1"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95250</xdr:rowOff>
        </xdr:from>
        <xdr:to>
          <xdr:col>8</xdr:col>
          <xdr:colOff>514350</xdr:colOff>
          <xdr:row>31</xdr:row>
          <xdr:rowOff>361950</xdr:rowOff>
        </xdr:to>
        <xdr:sp macro="" textlink="">
          <xdr:nvSpPr>
            <xdr:cNvPr id="1033" name="OptionButton2"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104775</xdr:rowOff>
        </xdr:from>
        <xdr:to>
          <xdr:col>11</xdr:col>
          <xdr:colOff>438150</xdr:colOff>
          <xdr:row>31</xdr:row>
          <xdr:rowOff>361950</xdr:rowOff>
        </xdr:to>
        <xdr:sp macro="" textlink="">
          <xdr:nvSpPr>
            <xdr:cNvPr id="1034" name="OptionButton3"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22</xdr:row>
          <xdr:rowOff>219075</xdr:rowOff>
        </xdr:from>
        <xdr:to>
          <xdr:col>6</xdr:col>
          <xdr:colOff>1009650</xdr:colOff>
          <xdr:row>22</xdr:row>
          <xdr:rowOff>447675</xdr:rowOff>
        </xdr:to>
        <xdr:sp macro="" textlink="">
          <xdr:nvSpPr>
            <xdr:cNvPr id="1047" name="LineaBase"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800100</xdr:colOff>
          <xdr:row>22</xdr:row>
          <xdr:rowOff>257175</xdr:rowOff>
        </xdr:from>
        <xdr:to>
          <xdr:col>7</xdr:col>
          <xdr:colOff>1019175</xdr:colOff>
          <xdr:row>22</xdr:row>
          <xdr:rowOff>419100</xdr:rowOff>
        </xdr:to>
        <xdr:sp macro="" textlink="">
          <xdr:nvSpPr>
            <xdr:cNvPr id="1049" name="Escenario1"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22</xdr:row>
          <xdr:rowOff>238125</xdr:rowOff>
        </xdr:from>
        <xdr:to>
          <xdr:col>9</xdr:col>
          <xdr:colOff>314325</xdr:colOff>
          <xdr:row>22</xdr:row>
          <xdr:rowOff>438150</xdr:rowOff>
        </xdr:to>
        <xdr:sp macro="" textlink="">
          <xdr:nvSpPr>
            <xdr:cNvPr id="1051" name="Escenario2"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838200</xdr:colOff>
          <xdr:row>22</xdr:row>
          <xdr:rowOff>257175</xdr:rowOff>
        </xdr:from>
        <xdr:to>
          <xdr:col>10</xdr:col>
          <xdr:colOff>1009650</xdr:colOff>
          <xdr:row>22</xdr:row>
          <xdr:rowOff>409575</xdr:rowOff>
        </xdr:to>
        <xdr:sp macro="" textlink="">
          <xdr:nvSpPr>
            <xdr:cNvPr id="1052" name="Escenario3"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47625</xdr:colOff>
      <xdr:row>27</xdr:row>
      <xdr:rowOff>27214</xdr:rowOff>
    </xdr:from>
    <xdr:to>
      <xdr:col>13</xdr:col>
      <xdr:colOff>54429</xdr:colOff>
      <xdr:row>38</xdr:row>
      <xdr:rowOff>122465</xdr:rowOff>
    </xdr:to>
    <xdr:sp macro="" textlink="">
      <xdr:nvSpPr>
        <xdr:cNvPr id="5" name="4 Rectángulo">
          <a:extLst>
            <a:ext uri="{FF2B5EF4-FFF2-40B4-BE49-F238E27FC236}">
              <a16:creationId xmlns:a16="http://schemas.microsoft.com/office/drawing/2014/main" id="{00000000-0008-0000-0300-000005000000}"/>
            </a:ext>
          </a:extLst>
        </xdr:cNvPr>
        <xdr:cNvSpPr/>
      </xdr:nvSpPr>
      <xdr:spPr>
        <a:xfrm>
          <a:off x="866775" y="5589814"/>
          <a:ext cx="11903529" cy="4371976"/>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E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141</xdr:row>
          <xdr:rowOff>190500</xdr:rowOff>
        </xdr:from>
        <xdr:to>
          <xdr:col>8</xdr:col>
          <xdr:colOff>590550</xdr:colOff>
          <xdr:row>143</xdr:row>
          <xdr:rowOff>123825</xdr:rowOff>
        </xdr:to>
        <xdr:sp macro="" textlink="">
          <xdr:nvSpPr>
            <xdr:cNvPr id="7205" name="OptionButton24" hidden="1">
              <a:extLst>
                <a:ext uri="{63B3BB69-23CF-44E3-9099-C40C66FF867C}">
                  <a14:compatExt spid="_x0000_s7205"/>
                </a:ext>
                <a:ext uri="{FF2B5EF4-FFF2-40B4-BE49-F238E27FC236}">
                  <a16:creationId xmlns:a16="http://schemas.microsoft.com/office/drawing/2014/main" id="{00000000-0008-0000-07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1609725</xdr:colOff>
          <xdr:row>141</xdr:row>
          <xdr:rowOff>142875</xdr:rowOff>
        </xdr:from>
        <xdr:to>
          <xdr:col>6</xdr:col>
          <xdr:colOff>28575</xdr:colOff>
          <xdr:row>144</xdr:row>
          <xdr:rowOff>19050</xdr:rowOff>
        </xdr:to>
        <xdr:sp macro="" textlink="">
          <xdr:nvSpPr>
            <xdr:cNvPr id="7206" name="OptionButton25" hidden="1">
              <a:extLst>
                <a:ext uri="{63B3BB69-23CF-44E3-9099-C40C66FF867C}">
                  <a14:compatExt spid="_x0000_s7206"/>
                </a:ext>
                <a:ext uri="{FF2B5EF4-FFF2-40B4-BE49-F238E27FC236}">
                  <a16:creationId xmlns:a16="http://schemas.microsoft.com/office/drawing/2014/main" id="{00000000-0008-0000-07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149</xdr:row>
          <xdr:rowOff>85725</xdr:rowOff>
        </xdr:from>
        <xdr:to>
          <xdr:col>12</xdr:col>
          <xdr:colOff>1009650</xdr:colOff>
          <xdr:row>150</xdr:row>
          <xdr:rowOff>171450</xdr:rowOff>
        </xdr:to>
        <xdr:sp macro="" textlink="">
          <xdr:nvSpPr>
            <xdr:cNvPr id="7207" name="OptionButton26" hidden="1">
              <a:extLst>
                <a:ext uri="{63B3BB69-23CF-44E3-9099-C40C66FF867C}">
                  <a14:compatExt spid="_x0000_s7207"/>
                </a:ext>
                <a:ext uri="{FF2B5EF4-FFF2-40B4-BE49-F238E27FC236}">
                  <a16:creationId xmlns:a16="http://schemas.microsoft.com/office/drawing/2014/main" id="{00000000-0008-0000-0700-00002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104775</xdr:rowOff>
        </xdr:from>
        <xdr:to>
          <xdr:col>15</xdr:col>
          <xdr:colOff>200025</xdr:colOff>
          <xdr:row>150</xdr:row>
          <xdr:rowOff>142875</xdr:rowOff>
        </xdr:to>
        <xdr:sp macro="" textlink="">
          <xdr:nvSpPr>
            <xdr:cNvPr id="7208" name="OptionButton27" hidden="1">
              <a:extLst>
                <a:ext uri="{63B3BB69-23CF-44E3-9099-C40C66FF867C}">
                  <a14:compatExt spid="_x0000_s7208"/>
                </a:ext>
                <a:ext uri="{FF2B5EF4-FFF2-40B4-BE49-F238E27FC236}">
                  <a16:creationId xmlns:a16="http://schemas.microsoft.com/office/drawing/2014/main" id="{00000000-0008-0000-07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361951</xdr:colOff>
      <xdr:row>146</xdr:row>
      <xdr:rowOff>190499</xdr:rowOff>
    </xdr:from>
    <xdr:to>
      <xdr:col>16</xdr:col>
      <xdr:colOff>95251</xdr:colOff>
      <xdr:row>160</xdr:row>
      <xdr:rowOff>76200</xdr:rowOff>
    </xdr:to>
    <xdr:sp macro="" textlink="">
      <xdr:nvSpPr>
        <xdr:cNvPr id="79" name="78 Rectángulo">
          <a:extLst>
            <a:ext uri="{FF2B5EF4-FFF2-40B4-BE49-F238E27FC236}">
              <a16:creationId xmlns:a16="http://schemas.microsoft.com/office/drawing/2014/main" id="{00000000-0008-0000-0700-00004F000000}"/>
            </a:ext>
          </a:extLst>
        </xdr:cNvPr>
        <xdr:cNvSpPr/>
      </xdr:nvSpPr>
      <xdr:spPr>
        <a:xfrm>
          <a:off x="6067426" y="40281224"/>
          <a:ext cx="5629275" cy="233362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361951</xdr:colOff>
      <xdr:row>140</xdr:row>
      <xdr:rowOff>114300</xdr:rowOff>
    </xdr:from>
    <xdr:to>
      <xdr:col>16</xdr:col>
      <xdr:colOff>95251</xdr:colOff>
      <xdr:row>146</xdr:row>
      <xdr:rowOff>76201</xdr:rowOff>
    </xdr:to>
    <xdr:sp macro="" textlink="">
      <xdr:nvSpPr>
        <xdr:cNvPr id="80" name="79 Rectángulo">
          <a:extLst>
            <a:ext uri="{FF2B5EF4-FFF2-40B4-BE49-F238E27FC236}">
              <a16:creationId xmlns:a16="http://schemas.microsoft.com/office/drawing/2014/main" id="{00000000-0008-0000-0700-000050000000}"/>
            </a:ext>
          </a:extLst>
        </xdr:cNvPr>
        <xdr:cNvSpPr/>
      </xdr:nvSpPr>
      <xdr:spPr>
        <a:xfrm>
          <a:off x="6153151" y="32927925"/>
          <a:ext cx="5829300" cy="130492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120650</xdr:colOff>
      <xdr:row>140</xdr:row>
      <xdr:rowOff>86782</xdr:rowOff>
    </xdr:from>
    <xdr:to>
      <xdr:col>9</xdr:col>
      <xdr:colOff>206374</xdr:colOff>
      <xdr:row>153</xdr:row>
      <xdr:rowOff>124882</xdr:rowOff>
    </xdr:to>
    <xdr:sp macro="" textlink="">
      <xdr:nvSpPr>
        <xdr:cNvPr id="81" name="80 Rectángulo">
          <a:extLst>
            <a:ext uri="{FF2B5EF4-FFF2-40B4-BE49-F238E27FC236}">
              <a16:creationId xmlns:a16="http://schemas.microsoft.com/office/drawing/2014/main" id="{00000000-0008-0000-0700-000051000000}"/>
            </a:ext>
          </a:extLst>
        </xdr:cNvPr>
        <xdr:cNvSpPr/>
      </xdr:nvSpPr>
      <xdr:spPr>
        <a:xfrm>
          <a:off x="789517" y="34461449"/>
          <a:ext cx="5326590" cy="32639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123826</xdr:colOff>
      <xdr:row>154</xdr:row>
      <xdr:rowOff>85726</xdr:rowOff>
    </xdr:from>
    <xdr:to>
      <xdr:col>9</xdr:col>
      <xdr:colOff>171450</xdr:colOff>
      <xdr:row>160</xdr:row>
      <xdr:rowOff>85726</xdr:rowOff>
    </xdr:to>
    <xdr:sp macro="" textlink="">
      <xdr:nvSpPr>
        <xdr:cNvPr id="82" name="81 Rectángulo">
          <a:extLst>
            <a:ext uri="{FF2B5EF4-FFF2-40B4-BE49-F238E27FC236}">
              <a16:creationId xmlns:a16="http://schemas.microsoft.com/office/drawing/2014/main" id="{00000000-0008-0000-0700-000052000000}"/>
            </a:ext>
          </a:extLst>
        </xdr:cNvPr>
        <xdr:cNvSpPr/>
      </xdr:nvSpPr>
      <xdr:spPr>
        <a:xfrm>
          <a:off x="771526" y="36566476"/>
          <a:ext cx="5133974" cy="9525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mc:AlternateContent xmlns:mc="http://schemas.openxmlformats.org/markup-compatibility/2006">
    <mc:Choice xmlns:a14="http://schemas.microsoft.com/office/drawing/2010/main" Requires="a14">
      <xdr:twoCellAnchor editAs="oneCell">
        <xdr:from>
          <xdr:col>6</xdr:col>
          <xdr:colOff>428625</xdr:colOff>
          <xdr:row>293</xdr:row>
          <xdr:rowOff>9525</xdr:rowOff>
        </xdr:from>
        <xdr:to>
          <xdr:col>6</xdr:col>
          <xdr:colOff>590550</xdr:colOff>
          <xdr:row>293</xdr:row>
          <xdr:rowOff>152400</xdr:rowOff>
        </xdr:to>
        <xdr:sp macro="" textlink="">
          <xdr:nvSpPr>
            <xdr:cNvPr id="7410" name="OptionButton3" hidden="1">
              <a:extLst>
                <a:ext uri="{63B3BB69-23CF-44E3-9099-C40C66FF867C}">
                  <a14:compatExt spid="_x0000_s7410"/>
                </a:ext>
                <a:ext uri="{FF2B5EF4-FFF2-40B4-BE49-F238E27FC236}">
                  <a16:creationId xmlns:a16="http://schemas.microsoft.com/office/drawing/2014/main" id="{00000000-0008-0000-0700-0000F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294</xdr:row>
          <xdr:rowOff>9525</xdr:rowOff>
        </xdr:from>
        <xdr:to>
          <xdr:col>6</xdr:col>
          <xdr:colOff>590550</xdr:colOff>
          <xdr:row>294</xdr:row>
          <xdr:rowOff>152400</xdr:rowOff>
        </xdr:to>
        <xdr:sp macro="" textlink="">
          <xdr:nvSpPr>
            <xdr:cNvPr id="7411" name="OptionButton4" hidden="1">
              <a:extLst>
                <a:ext uri="{63B3BB69-23CF-44E3-9099-C40C66FF867C}">
                  <a14:compatExt spid="_x0000_s7411"/>
                </a:ext>
                <a:ext uri="{FF2B5EF4-FFF2-40B4-BE49-F238E27FC236}">
                  <a16:creationId xmlns:a16="http://schemas.microsoft.com/office/drawing/2014/main" id="{00000000-0008-0000-0700-0000F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295</xdr:row>
          <xdr:rowOff>9525</xdr:rowOff>
        </xdr:from>
        <xdr:to>
          <xdr:col>6</xdr:col>
          <xdr:colOff>590550</xdr:colOff>
          <xdr:row>295</xdr:row>
          <xdr:rowOff>152400</xdr:rowOff>
        </xdr:to>
        <xdr:sp macro="" textlink="">
          <xdr:nvSpPr>
            <xdr:cNvPr id="7412" name="OptionButton5" hidden="1">
              <a:extLst>
                <a:ext uri="{63B3BB69-23CF-44E3-9099-C40C66FF867C}">
                  <a14:compatExt spid="_x0000_s7412"/>
                </a:ext>
                <a:ext uri="{FF2B5EF4-FFF2-40B4-BE49-F238E27FC236}">
                  <a16:creationId xmlns:a16="http://schemas.microsoft.com/office/drawing/2014/main" id="{00000000-0008-0000-0700-0000F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161925</xdr:colOff>
      <xdr:row>0</xdr:row>
      <xdr:rowOff>161925</xdr:rowOff>
    </xdr:from>
    <xdr:to>
      <xdr:col>4</xdr:col>
      <xdr:colOff>1211792</xdr:colOff>
      <xdr:row>4</xdr:row>
      <xdr:rowOff>87842</xdr:rowOff>
    </xdr:to>
    <xdr:pic>
      <xdr:nvPicPr>
        <xdr:cNvPr id="118" name="117 Imagen" descr="Resultado de imagen para inter american development bank">
          <a:extLst>
            <a:ext uri="{FF2B5EF4-FFF2-40B4-BE49-F238E27FC236}">
              <a16:creationId xmlns:a16="http://schemas.microsoft.com/office/drawing/2014/main" id="{00000000-0008-0000-0700-00007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684" b="36842"/>
        <a:stretch/>
      </xdr:blipFill>
      <xdr:spPr bwMode="auto">
        <a:xfrm>
          <a:off x="161925" y="161925"/>
          <a:ext cx="1802342" cy="897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523875</xdr:colOff>
          <xdr:row>65</xdr:row>
          <xdr:rowOff>28575</xdr:rowOff>
        </xdr:from>
        <xdr:to>
          <xdr:col>12</xdr:col>
          <xdr:colOff>762000</xdr:colOff>
          <xdr:row>65</xdr:row>
          <xdr:rowOff>219075</xdr:rowOff>
        </xdr:to>
        <xdr:sp macro="" textlink="">
          <xdr:nvSpPr>
            <xdr:cNvPr id="7449" name="OptionButton1" hidden="1">
              <a:extLst>
                <a:ext uri="{63B3BB69-23CF-44E3-9099-C40C66FF867C}">
                  <a14:compatExt spid="_x0000_s7449"/>
                </a:ext>
                <a:ext uri="{FF2B5EF4-FFF2-40B4-BE49-F238E27FC236}">
                  <a16:creationId xmlns:a16="http://schemas.microsoft.com/office/drawing/2014/main" id="{00000000-0008-0000-0700-00001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65</xdr:row>
          <xdr:rowOff>28575</xdr:rowOff>
        </xdr:from>
        <xdr:to>
          <xdr:col>13</xdr:col>
          <xdr:colOff>704850</xdr:colOff>
          <xdr:row>65</xdr:row>
          <xdr:rowOff>219075</xdr:rowOff>
        </xdr:to>
        <xdr:sp macro="" textlink="">
          <xdr:nvSpPr>
            <xdr:cNvPr id="7451" name="OptionButton2" hidden="1">
              <a:extLst>
                <a:ext uri="{63B3BB69-23CF-44E3-9099-C40C66FF867C}">
                  <a14:compatExt spid="_x0000_s7451"/>
                </a:ext>
                <a:ext uri="{FF2B5EF4-FFF2-40B4-BE49-F238E27FC236}">
                  <a16:creationId xmlns:a16="http://schemas.microsoft.com/office/drawing/2014/main" id="{00000000-0008-0000-0700-00001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65</xdr:row>
          <xdr:rowOff>28575</xdr:rowOff>
        </xdr:from>
        <xdr:to>
          <xdr:col>14</xdr:col>
          <xdr:colOff>704850</xdr:colOff>
          <xdr:row>65</xdr:row>
          <xdr:rowOff>219075</xdr:rowOff>
        </xdr:to>
        <xdr:sp macro="" textlink="">
          <xdr:nvSpPr>
            <xdr:cNvPr id="7452" name="OptionButton6" hidden="1">
              <a:extLst>
                <a:ext uri="{63B3BB69-23CF-44E3-9099-C40C66FF867C}">
                  <a14:compatExt spid="_x0000_s7452"/>
                </a:ext>
                <a:ext uri="{FF2B5EF4-FFF2-40B4-BE49-F238E27FC236}">
                  <a16:creationId xmlns:a16="http://schemas.microsoft.com/office/drawing/2014/main" id="{00000000-0008-0000-0700-00001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66</xdr:row>
          <xdr:rowOff>28575</xdr:rowOff>
        </xdr:from>
        <xdr:to>
          <xdr:col>12</xdr:col>
          <xdr:colOff>762000</xdr:colOff>
          <xdr:row>66</xdr:row>
          <xdr:rowOff>219075</xdr:rowOff>
        </xdr:to>
        <xdr:sp macro="" textlink="">
          <xdr:nvSpPr>
            <xdr:cNvPr id="7453" name="OptionButton7" hidden="1">
              <a:extLst>
                <a:ext uri="{63B3BB69-23CF-44E3-9099-C40C66FF867C}">
                  <a14:compatExt spid="_x0000_s7453"/>
                </a:ext>
                <a:ext uri="{FF2B5EF4-FFF2-40B4-BE49-F238E27FC236}">
                  <a16:creationId xmlns:a16="http://schemas.microsoft.com/office/drawing/2014/main" id="{00000000-0008-0000-0700-00001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66</xdr:row>
          <xdr:rowOff>38100</xdr:rowOff>
        </xdr:from>
        <xdr:to>
          <xdr:col>13</xdr:col>
          <xdr:colOff>704850</xdr:colOff>
          <xdr:row>66</xdr:row>
          <xdr:rowOff>228600</xdr:rowOff>
        </xdr:to>
        <xdr:sp macro="" textlink="">
          <xdr:nvSpPr>
            <xdr:cNvPr id="7454" name="OptionButton8" hidden="1">
              <a:extLst>
                <a:ext uri="{63B3BB69-23CF-44E3-9099-C40C66FF867C}">
                  <a14:compatExt spid="_x0000_s7454"/>
                </a:ext>
                <a:ext uri="{FF2B5EF4-FFF2-40B4-BE49-F238E27FC236}">
                  <a16:creationId xmlns:a16="http://schemas.microsoft.com/office/drawing/2014/main" id="{00000000-0008-0000-0700-00001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66</xdr:row>
          <xdr:rowOff>28575</xdr:rowOff>
        </xdr:from>
        <xdr:to>
          <xdr:col>14</xdr:col>
          <xdr:colOff>704850</xdr:colOff>
          <xdr:row>66</xdr:row>
          <xdr:rowOff>219075</xdr:rowOff>
        </xdr:to>
        <xdr:sp macro="" textlink="">
          <xdr:nvSpPr>
            <xdr:cNvPr id="7455" name="OptionButton9" hidden="1">
              <a:extLst>
                <a:ext uri="{63B3BB69-23CF-44E3-9099-C40C66FF867C}">
                  <a14:compatExt spid="_x0000_s7455"/>
                </a:ext>
                <a:ext uri="{FF2B5EF4-FFF2-40B4-BE49-F238E27FC236}">
                  <a16:creationId xmlns:a16="http://schemas.microsoft.com/office/drawing/2014/main" id="{00000000-0008-0000-0700-00001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67</xdr:row>
          <xdr:rowOff>28575</xdr:rowOff>
        </xdr:from>
        <xdr:to>
          <xdr:col>12</xdr:col>
          <xdr:colOff>762000</xdr:colOff>
          <xdr:row>67</xdr:row>
          <xdr:rowOff>219075</xdr:rowOff>
        </xdr:to>
        <xdr:sp macro="" textlink="">
          <xdr:nvSpPr>
            <xdr:cNvPr id="7456" name="OptionButton10" hidden="1">
              <a:extLst>
                <a:ext uri="{63B3BB69-23CF-44E3-9099-C40C66FF867C}">
                  <a14:compatExt spid="_x0000_s7456"/>
                </a:ext>
                <a:ext uri="{FF2B5EF4-FFF2-40B4-BE49-F238E27FC236}">
                  <a16:creationId xmlns:a16="http://schemas.microsoft.com/office/drawing/2014/main" id="{00000000-0008-0000-0700-00002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67</xdr:row>
          <xdr:rowOff>19050</xdr:rowOff>
        </xdr:from>
        <xdr:to>
          <xdr:col>13</xdr:col>
          <xdr:colOff>704850</xdr:colOff>
          <xdr:row>67</xdr:row>
          <xdr:rowOff>209550</xdr:rowOff>
        </xdr:to>
        <xdr:sp macro="" textlink="">
          <xdr:nvSpPr>
            <xdr:cNvPr id="7457" name="OptionButton11" hidden="1">
              <a:extLst>
                <a:ext uri="{63B3BB69-23CF-44E3-9099-C40C66FF867C}">
                  <a14:compatExt spid="_x0000_s7457"/>
                </a:ext>
                <a:ext uri="{FF2B5EF4-FFF2-40B4-BE49-F238E27FC236}">
                  <a16:creationId xmlns:a16="http://schemas.microsoft.com/office/drawing/2014/main" id="{00000000-0008-0000-0700-00002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67</xdr:row>
          <xdr:rowOff>38100</xdr:rowOff>
        </xdr:from>
        <xdr:to>
          <xdr:col>14</xdr:col>
          <xdr:colOff>714375</xdr:colOff>
          <xdr:row>67</xdr:row>
          <xdr:rowOff>228600</xdr:rowOff>
        </xdr:to>
        <xdr:sp macro="" textlink="">
          <xdr:nvSpPr>
            <xdr:cNvPr id="7458" name="OptionButton12" hidden="1">
              <a:extLst>
                <a:ext uri="{63B3BB69-23CF-44E3-9099-C40C66FF867C}">
                  <a14:compatExt spid="_x0000_s7458"/>
                </a:ext>
                <a:ext uri="{FF2B5EF4-FFF2-40B4-BE49-F238E27FC236}">
                  <a16:creationId xmlns:a16="http://schemas.microsoft.com/office/drawing/2014/main" id="{00000000-0008-0000-0700-00002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68</xdr:row>
          <xdr:rowOff>47625</xdr:rowOff>
        </xdr:from>
        <xdr:to>
          <xdr:col>12</xdr:col>
          <xdr:colOff>752475</xdr:colOff>
          <xdr:row>68</xdr:row>
          <xdr:rowOff>238125</xdr:rowOff>
        </xdr:to>
        <xdr:sp macro="" textlink="">
          <xdr:nvSpPr>
            <xdr:cNvPr id="7459" name="OptionButton13" hidden="1">
              <a:extLst>
                <a:ext uri="{63B3BB69-23CF-44E3-9099-C40C66FF867C}">
                  <a14:compatExt spid="_x0000_s7459"/>
                </a:ext>
                <a:ext uri="{FF2B5EF4-FFF2-40B4-BE49-F238E27FC236}">
                  <a16:creationId xmlns:a16="http://schemas.microsoft.com/office/drawing/2014/main" id="{00000000-0008-0000-0700-00002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485775</xdr:colOff>
          <xdr:row>68</xdr:row>
          <xdr:rowOff>47625</xdr:rowOff>
        </xdr:from>
        <xdr:to>
          <xdr:col>13</xdr:col>
          <xdr:colOff>723900</xdr:colOff>
          <xdr:row>68</xdr:row>
          <xdr:rowOff>238125</xdr:rowOff>
        </xdr:to>
        <xdr:sp macro="" textlink="">
          <xdr:nvSpPr>
            <xdr:cNvPr id="7460" name="OptionButton14" hidden="1">
              <a:extLst>
                <a:ext uri="{63B3BB69-23CF-44E3-9099-C40C66FF867C}">
                  <a14:compatExt spid="_x0000_s7460"/>
                </a:ext>
                <a:ext uri="{FF2B5EF4-FFF2-40B4-BE49-F238E27FC236}">
                  <a16:creationId xmlns:a16="http://schemas.microsoft.com/office/drawing/2014/main" id="{00000000-0008-0000-0700-00002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68</xdr:row>
          <xdr:rowOff>57150</xdr:rowOff>
        </xdr:from>
        <xdr:to>
          <xdr:col>14</xdr:col>
          <xdr:colOff>638175</xdr:colOff>
          <xdr:row>68</xdr:row>
          <xdr:rowOff>238125</xdr:rowOff>
        </xdr:to>
        <xdr:sp macro="" textlink="">
          <xdr:nvSpPr>
            <xdr:cNvPr id="7461" name="OptionButton15" hidden="1">
              <a:extLst>
                <a:ext uri="{63B3BB69-23CF-44E3-9099-C40C66FF867C}">
                  <a14:compatExt spid="_x0000_s7461"/>
                </a:ext>
                <a:ext uri="{FF2B5EF4-FFF2-40B4-BE49-F238E27FC236}">
                  <a16:creationId xmlns:a16="http://schemas.microsoft.com/office/drawing/2014/main" id="{00000000-0008-0000-0700-00002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98</xdr:row>
          <xdr:rowOff>104775</xdr:rowOff>
        </xdr:from>
        <xdr:to>
          <xdr:col>10</xdr:col>
          <xdr:colOff>400050</xdr:colOff>
          <xdr:row>98</xdr:row>
          <xdr:rowOff>295275</xdr:rowOff>
        </xdr:to>
        <xdr:sp macro="" textlink="">
          <xdr:nvSpPr>
            <xdr:cNvPr id="7462" name="OptionButton16" hidden="1">
              <a:extLst>
                <a:ext uri="{63B3BB69-23CF-44E3-9099-C40C66FF867C}">
                  <a14:compatExt spid="_x0000_s7462"/>
                </a:ext>
                <a:ext uri="{FF2B5EF4-FFF2-40B4-BE49-F238E27FC236}">
                  <a16:creationId xmlns:a16="http://schemas.microsoft.com/office/drawing/2014/main" id="{00000000-0008-0000-0700-00002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98</xdr:row>
          <xdr:rowOff>95250</xdr:rowOff>
        </xdr:from>
        <xdr:to>
          <xdr:col>12</xdr:col>
          <xdr:colOff>714375</xdr:colOff>
          <xdr:row>98</xdr:row>
          <xdr:rowOff>285750</xdr:rowOff>
        </xdr:to>
        <xdr:sp macro="" textlink="">
          <xdr:nvSpPr>
            <xdr:cNvPr id="7463" name="OptionButton17" hidden="1">
              <a:extLst>
                <a:ext uri="{63B3BB69-23CF-44E3-9099-C40C66FF867C}">
                  <a14:compatExt spid="_x0000_s7463"/>
                </a:ext>
                <a:ext uri="{FF2B5EF4-FFF2-40B4-BE49-F238E27FC236}">
                  <a16:creationId xmlns:a16="http://schemas.microsoft.com/office/drawing/2014/main" id="{00000000-0008-0000-0700-00002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98</xdr:row>
          <xdr:rowOff>85725</xdr:rowOff>
        </xdr:from>
        <xdr:to>
          <xdr:col>13</xdr:col>
          <xdr:colOff>704850</xdr:colOff>
          <xdr:row>98</xdr:row>
          <xdr:rowOff>276225</xdr:rowOff>
        </xdr:to>
        <xdr:sp macro="" textlink="">
          <xdr:nvSpPr>
            <xdr:cNvPr id="7464" name="OptionButton18" hidden="1">
              <a:extLst>
                <a:ext uri="{63B3BB69-23CF-44E3-9099-C40C66FF867C}">
                  <a14:compatExt spid="_x0000_s7464"/>
                </a:ext>
                <a:ext uri="{FF2B5EF4-FFF2-40B4-BE49-F238E27FC236}">
                  <a16:creationId xmlns:a16="http://schemas.microsoft.com/office/drawing/2014/main" id="{00000000-0008-0000-0700-00002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99</xdr:row>
          <xdr:rowOff>114300</xdr:rowOff>
        </xdr:from>
        <xdr:to>
          <xdr:col>10</xdr:col>
          <xdr:colOff>381000</xdr:colOff>
          <xdr:row>99</xdr:row>
          <xdr:rowOff>304800</xdr:rowOff>
        </xdr:to>
        <xdr:sp macro="" textlink="">
          <xdr:nvSpPr>
            <xdr:cNvPr id="7465" name="OptionButton19" hidden="1">
              <a:extLst>
                <a:ext uri="{63B3BB69-23CF-44E3-9099-C40C66FF867C}">
                  <a14:compatExt spid="_x0000_s7465"/>
                </a:ext>
                <a:ext uri="{FF2B5EF4-FFF2-40B4-BE49-F238E27FC236}">
                  <a16:creationId xmlns:a16="http://schemas.microsoft.com/office/drawing/2014/main" id="{00000000-0008-0000-0700-00002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99</xdr:row>
          <xdr:rowOff>95250</xdr:rowOff>
        </xdr:from>
        <xdr:to>
          <xdr:col>12</xdr:col>
          <xdr:colOff>695325</xdr:colOff>
          <xdr:row>99</xdr:row>
          <xdr:rowOff>285750</xdr:rowOff>
        </xdr:to>
        <xdr:sp macro="" textlink="">
          <xdr:nvSpPr>
            <xdr:cNvPr id="7466" name="OptionButton20" hidden="1">
              <a:extLst>
                <a:ext uri="{63B3BB69-23CF-44E3-9099-C40C66FF867C}">
                  <a14:compatExt spid="_x0000_s7466"/>
                </a:ext>
                <a:ext uri="{FF2B5EF4-FFF2-40B4-BE49-F238E27FC236}">
                  <a16:creationId xmlns:a16="http://schemas.microsoft.com/office/drawing/2014/main" id="{00000000-0008-0000-0700-00002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99</xdr:row>
          <xdr:rowOff>104775</xdr:rowOff>
        </xdr:from>
        <xdr:to>
          <xdr:col>13</xdr:col>
          <xdr:colOff>685800</xdr:colOff>
          <xdr:row>99</xdr:row>
          <xdr:rowOff>295275</xdr:rowOff>
        </xdr:to>
        <xdr:sp macro="" textlink="">
          <xdr:nvSpPr>
            <xdr:cNvPr id="7467" name="OptionButton21" hidden="1">
              <a:extLst>
                <a:ext uri="{63B3BB69-23CF-44E3-9099-C40C66FF867C}">
                  <a14:compatExt spid="_x0000_s7467"/>
                </a:ext>
                <a:ext uri="{FF2B5EF4-FFF2-40B4-BE49-F238E27FC236}">
                  <a16:creationId xmlns:a16="http://schemas.microsoft.com/office/drawing/2014/main" id="{00000000-0008-0000-0700-00002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100</xdr:row>
          <xdr:rowOff>133350</xdr:rowOff>
        </xdr:from>
        <xdr:to>
          <xdr:col>10</xdr:col>
          <xdr:colOff>381000</xdr:colOff>
          <xdr:row>100</xdr:row>
          <xdr:rowOff>323850</xdr:rowOff>
        </xdr:to>
        <xdr:sp macro="" textlink="">
          <xdr:nvSpPr>
            <xdr:cNvPr id="7468" name="OptionButton22" hidden="1">
              <a:extLst>
                <a:ext uri="{63B3BB69-23CF-44E3-9099-C40C66FF867C}">
                  <a14:compatExt spid="_x0000_s7468"/>
                </a:ext>
                <a:ext uri="{FF2B5EF4-FFF2-40B4-BE49-F238E27FC236}">
                  <a16:creationId xmlns:a16="http://schemas.microsoft.com/office/drawing/2014/main" id="{00000000-0008-0000-0700-00002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100</xdr:row>
          <xdr:rowOff>76200</xdr:rowOff>
        </xdr:from>
        <xdr:to>
          <xdr:col>12</xdr:col>
          <xdr:colOff>695325</xdr:colOff>
          <xdr:row>100</xdr:row>
          <xdr:rowOff>266700</xdr:rowOff>
        </xdr:to>
        <xdr:sp macro="" textlink="">
          <xdr:nvSpPr>
            <xdr:cNvPr id="7469" name="OptionButton23" hidden="1">
              <a:extLst>
                <a:ext uri="{63B3BB69-23CF-44E3-9099-C40C66FF867C}">
                  <a14:compatExt spid="_x0000_s7469"/>
                </a:ext>
                <a:ext uri="{FF2B5EF4-FFF2-40B4-BE49-F238E27FC236}">
                  <a16:creationId xmlns:a16="http://schemas.microsoft.com/office/drawing/2014/main" id="{00000000-0008-0000-0700-00002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100</xdr:row>
          <xdr:rowOff>85725</xdr:rowOff>
        </xdr:from>
        <xdr:to>
          <xdr:col>13</xdr:col>
          <xdr:colOff>695325</xdr:colOff>
          <xdr:row>100</xdr:row>
          <xdr:rowOff>276225</xdr:rowOff>
        </xdr:to>
        <xdr:sp macro="" textlink="">
          <xdr:nvSpPr>
            <xdr:cNvPr id="7470" name="OptionButton28" hidden="1">
              <a:extLst>
                <a:ext uri="{63B3BB69-23CF-44E3-9099-C40C66FF867C}">
                  <a14:compatExt spid="_x0000_s7470"/>
                </a:ext>
                <a:ext uri="{FF2B5EF4-FFF2-40B4-BE49-F238E27FC236}">
                  <a16:creationId xmlns:a16="http://schemas.microsoft.com/office/drawing/2014/main" id="{00000000-0008-0000-0700-00002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101</xdr:row>
          <xdr:rowOff>76200</xdr:rowOff>
        </xdr:from>
        <xdr:to>
          <xdr:col>10</xdr:col>
          <xdr:colOff>381000</xdr:colOff>
          <xdr:row>101</xdr:row>
          <xdr:rowOff>266700</xdr:rowOff>
        </xdr:to>
        <xdr:sp macro="" textlink="">
          <xdr:nvSpPr>
            <xdr:cNvPr id="7471" name="OptionButton29" hidden="1">
              <a:extLst>
                <a:ext uri="{63B3BB69-23CF-44E3-9099-C40C66FF867C}">
                  <a14:compatExt spid="_x0000_s7471"/>
                </a:ext>
                <a:ext uri="{FF2B5EF4-FFF2-40B4-BE49-F238E27FC236}">
                  <a16:creationId xmlns:a16="http://schemas.microsoft.com/office/drawing/2014/main" id="{00000000-0008-0000-0700-00002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101</xdr:row>
          <xdr:rowOff>85725</xdr:rowOff>
        </xdr:from>
        <xdr:to>
          <xdr:col>12</xdr:col>
          <xdr:colOff>695325</xdr:colOff>
          <xdr:row>101</xdr:row>
          <xdr:rowOff>276225</xdr:rowOff>
        </xdr:to>
        <xdr:sp macro="" textlink="">
          <xdr:nvSpPr>
            <xdr:cNvPr id="7472" name="OptionButton30" hidden="1">
              <a:extLst>
                <a:ext uri="{63B3BB69-23CF-44E3-9099-C40C66FF867C}">
                  <a14:compatExt spid="_x0000_s7472"/>
                </a:ext>
                <a:ext uri="{FF2B5EF4-FFF2-40B4-BE49-F238E27FC236}">
                  <a16:creationId xmlns:a16="http://schemas.microsoft.com/office/drawing/2014/main" id="{00000000-0008-0000-0700-00003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101</xdr:row>
          <xdr:rowOff>76200</xdr:rowOff>
        </xdr:from>
        <xdr:to>
          <xdr:col>13</xdr:col>
          <xdr:colOff>704850</xdr:colOff>
          <xdr:row>101</xdr:row>
          <xdr:rowOff>266700</xdr:rowOff>
        </xdr:to>
        <xdr:sp macro="" textlink="">
          <xdr:nvSpPr>
            <xdr:cNvPr id="7473" name="OptionButton31" hidden="1">
              <a:extLst>
                <a:ext uri="{63B3BB69-23CF-44E3-9099-C40C66FF867C}">
                  <a14:compatExt spid="_x0000_s7473"/>
                </a:ext>
                <a:ext uri="{FF2B5EF4-FFF2-40B4-BE49-F238E27FC236}">
                  <a16:creationId xmlns:a16="http://schemas.microsoft.com/office/drawing/2014/main" id="{00000000-0008-0000-0700-00003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112</xdr:row>
          <xdr:rowOff>152400</xdr:rowOff>
        </xdr:from>
        <xdr:to>
          <xdr:col>12</xdr:col>
          <xdr:colOff>704850</xdr:colOff>
          <xdr:row>112</xdr:row>
          <xdr:rowOff>352425</xdr:rowOff>
        </xdr:to>
        <xdr:sp macro="" textlink="">
          <xdr:nvSpPr>
            <xdr:cNvPr id="7477" name="OptionButton32" hidden="1">
              <a:extLst>
                <a:ext uri="{63B3BB69-23CF-44E3-9099-C40C66FF867C}">
                  <a14:compatExt spid="_x0000_s7477"/>
                </a:ext>
                <a:ext uri="{FF2B5EF4-FFF2-40B4-BE49-F238E27FC236}">
                  <a16:creationId xmlns:a16="http://schemas.microsoft.com/office/drawing/2014/main" id="{00000000-0008-0000-0700-00003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112</xdr:row>
          <xdr:rowOff>190500</xdr:rowOff>
        </xdr:from>
        <xdr:to>
          <xdr:col>13</xdr:col>
          <xdr:colOff>695325</xdr:colOff>
          <xdr:row>112</xdr:row>
          <xdr:rowOff>390525</xdr:rowOff>
        </xdr:to>
        <xdr:sp macro="" textlink="">
          <xdr:nvSpPr>
            <xdr:cNvPr id="7478" name="OptionButton33" hidden="1">
              <a:extLst>
                <a:ext uri="{63B3BB69-23CF-44E3-9099-C40C66FF867C}">
                  <a14:compatExt spid="_x0000_s7478"/>
                </a:ext>
                <a:ext uri="{FF2B5EF4-FFF2-40B4-BE49-F238E27FC236}">
                  <a16:creationId xmlns:a16="http://schemas.microsoft.com/office/drawing/2014/main" id="{00000000-0008-0000-0700-00003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112</xdr:row>
          <xdr:rowOff>161925</xdr:rowOff>
        </xdr:from>
        <xdr:to>
          <xdr:col>14</xdr:col>
          <xdr:colOff>676275</xdr:colOff>
          <xdr:row>112</xdr:row>
          <xdr:rowOff>361950</xdr:rowOff>
        </xdr:to>
        <xdr:sp macro="" textlink="">
          <xdr:nvSpPr>
            <xdr:cNvPr id="7479" name="OptionButton34" hidden="1">
              <a:extLst>
                <a:ext uri="{63B3BB69-23CF-44E3-9099-C40C66FF867C}">
                  <a14:compatExt spid="_x0000_s7479"/>
                </a:ext>
                <a:ext uri="{FF2B5EF4-FFF2-40B4-BE49-F238E27FC236}">
                  <a16:creationId xmlns:a16="http://schemas.microsoft.com/office/drawing/2014/main" id="{00000000-0008-0000-0700-00003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113</xdr:row>
          <xdr:rowOff>152400</xdr:rowOff>
        </xdr:from>
        <xdr:to>
          <xdr:col>12</xdr:col>
          <xdr:colOff>704850</xdr:colOff>
          <xdr:row>113</xdr:row>
          <xdr:rowOff>352425</xdr:rowOff>
        </xdr:to>
        <xdr:sp macro="" textlink="">
          <xdr:nvSpPr>
            <xdr:cNvPr id="7480" name="OptionButton35" hidden="1">
              <a:extLst>
                <a:ext uri="{63B3BB69-23CF-44E3-9099-C40C66FF867C}">
                  <a14:compatExt spid="_x0000_s7480"/>
                </a:ext>
                <a:ext uri="{FF2B5EF4-FFF2-40B4-BE49-F238E27FC236}">
                  <a16:creationId xmlns:a16="http://schemas.microsoft.com/office/drawing/2014/main" id="{00000000-0008-0000-0700-00003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113</xdr:row>
          <xdr:rowOff>190500</xdr:rowOff>
        </xdr:from>
        <xdr:to>
          <xdr:col>13</xdr:col>
          <xdr:colOff>695325</xdr:colOff>
          <xdr:row>113</xdr:row>
          <xdr:rowOff>390525</xdr:rowOff>
        </xdr:to>
        <xdr:sp macro="" textlink="">
          <xdr:nvSpPr>
            <xdr:cNvPr id="7481" name="OptionButton36" hidden="1">
              <a:extLst>
                <a:ext uri="{63B3BB69-23CF-44E3-9099-C40C66FF867C}">
                  <a14:compatExt spid="_x0000_s7481"/>
                </a:ext>
                <a:ext uri="{FF2B5EF4-FFF2-40B4-BE49-F238E27FC236}">
                  <a16:creationId xmlns:a16="http://schemas.microsoft.com/office/drawing/2014/main" id="{00000000-0008-0000-0700-00003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113</xdr:row>
          <xdr:rowOff>238125</xdr:rowOff>
        </xdr:from>
        <xdr:to>
          <xdr:col>14</xdr:col>
          <xdr:colOff>638175</xdr:colOff>
          <xdr:row>113</xdr:row>
          <xdr:rowOff>438150</xdr:rowOff>
        </xdr:to>
        <xdr:sp macro="" textlink="">
          <xdr:nvSpPr>
            <xdr:cNvPr id="7482" name="OptionButton37" hidden="1">
              <a:extLst>
                <a:ext uri="{63B3BB69-23CF-44E3-9099-C40C66FF867C}">
                  <a14:compatExt spid="_x0000_s7482"/>
                </a:ext>
                <a:ext uri="{FF2B5EF4-FFF2-40B4-BE49-F238E27FC236}">
                  <a16:creationId xmlns:a16="http://schemas.microsoft.com/office/drawing/2014/main" id="{00000000-0008-0000-0700-00003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117</xdr:row>
          <xdr:rowOff>152400</xdr:rowOff>
        </xdr:from>
        <xdr:to>
          <xdr:col>12</xdr:col>
          <xdr:colOff>638175</xdr:colOff>
          <xdr:row>117</xdr:row>
          <xdr:rowOff>352425</xdr:rowOff>
        </xdr:to>
        <xdr:sp macro="" textlink="">
          <xdr:nvSpPr>
            <xdr:cNvPr id="7483" name="OptionButton38" hidden="1">
              <a:extLst>
                <a:ext uri="{63B3BB69-23CF-44E3-9099-C40C66FF867C}">
                  <a14:compatExt spid="_x0000_s7483"/>
                </a:ext>
                <a:ext uri="{FF2B5EF4-FFF2-40B4-BE49-F238E27FC236}">
                  <a16:creationId xmlns:a16="http://schemas.microsoft.com/office/drawing/2014/main" id="{00000000-0008-0000-0700-00003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117</xdr:row>
          <xdr:rowOff>180975</xdr:rowOff>
        </xdr:from>
        <xdr:to>
          <xdr:col>13</xdr:col>
          <xdr:colOff>714375</xdr:colOff>
          <xdr:row>117</xdr:row>
          <xdr:rowOff>381000</xdr:rowOff>
        </xdr:to>
        <xdr:sp macro="" textlink="">
          <xdr:nvSpPr>
            <xdr:cNvPr id="7484" name="OptionButton39" hidden="1">
              <a:extLst>
                <a:ext uri="{63B3BB69-23CF-44E3-9099-C40C66FF867C}">
                  <a14:compatExt spid="_x0000_s7484"/>
                </a:ext>
                <a:ext uri="{FF2B5EF4-FFF2-40B4-BE49-F238E27FC236}">
                  <a16:creationId xmlns:a16="http://schemas.microsoft.com/office/drawing/2014/main" id="{00000000-0008-0000-0700-00003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117</xdr:row>
          <xdr:rowOff>152400</xdr:rowOff>
        </xdr:from>
        <xdr:to>
          <xdr:col>14</xdr:col>
          <xdr:colOff>638175</xdr:colOff>
          <xdr:row>117</xdr:row>
          <xdr:rowOff>352425</xdr:rowOff>
        </xdr:to>
        <xdr:sp macro="" textlink="">
          <xdr:nvSpPr>
            <xdr:cNvPr id="7485" name="OptionButton40" hidden="1">
              <a:extLst>
                <a:ext uri="{63B3BB69-23CF-44E3-9099-C40C66FF867C}">
                  <a14:compatExt spid="_x0000_s7485"/>
                </a:ext>
                <a:ext uri="{FF2B5EF4-FFF2-40B4-BE49-F238E27FC236}">
                  <a16:creationId xmlns:a16="http://schemas.microsoft.com/office/drawing/2014/main" id="{00000000-0008-0000-0700-00003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126</xdr:row>
          <xdr:rowOff>57150</xdr:rowOff>
        </xdr:from>
        <xdr:to>
          <xdr:col>12</xdr:col>
          <xdr:colOff>638175</xdr:colOff>
          <xdr:row>126</xdr:row>
          <xdr:rowOff>180975</xdr:rowOff>
        </xdr:to>
        <xdr:sp macro="" textlink="">
          <xdr:nvSpPr>
            <xdr:cNvPr id="7486" name="OptionButton41" hidden="1">
              <a:extLst>
                <a:ext uri="{63B3BB69-23CF-44E3-9099-C40C66FF867C}">
                  <a14:compatExt spid="_x0000_s7486"/>
                </a:ext>
                <a:ext uri="{FF2B5EF4-FFF2-40B4-BE49-F238E27FC236}">
                  <a16:creationId xmlns:a16="http://schemas.microsoft.com/office/drawing/2014/main" id="{00000000-0008-0000-0700-00003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126</xdr:row>
          <xdr:rowOff>57150</xdr:rowOff>
        </xdr:from>
        <xdr:to>
          <xdr:col>13</xdr:col>
          <xdr:colOff>638175</xdr:colOff>
          <xdr:row>126</xdr:row>
          <xdr:rowOff>180975</xdr:rowOff>
        </xdr:to>
        <xdr:sp macro="" textlink="">
          <xdr:nvSpPr>
            <xdr:cNvPr id="7487" name="OptionButton42" hidden="1">
              <a:extLst>
                <a:ext uri="{63B3BB69-23CF-44E3-9099-C40C66FF867C}">
                  <a14:compatExt spid="_x0000_s7487"/>
                </a:ext>
                <a:ext uri="{FF2B5EF4-FFF2-40B4-BE49-F238E27FC236}">
                  <a16:creationId xmlns:a16="http://schemas.microsoft.com/office/drawing/2014/main" id="{00000000-0008-0000-0700-00003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126</xdr:row>
          <xdr:rowOff>57150</xdr:rowOff>
        </xdr:from>
        <xdr:to>
          <xdr:col>14</xdr:col>
          <xdr:colOff>638175</xdr:colOff>
          <xdr:row>126</xdr:row>
          <xdr:rowOff>180975</xdr:rowOff>
        </xdr:to>
        <xdr:sp macro="" textlink="">
          <xdr:nvSpPr>
            <xdr:cNvPr id="7488" name="OptionButton43" hidden="1">
              <a:extLst>
                <a:ext uri="{63B3BB69-23CF-44E3-9099-C40C66FF867C}">
                  <a14:compatExt spid="_x0000_s7488"/>
                </a:ext>
                <a:ext uri="{FF2B5EF4-FFF2-40B4-BE49-F238E27FC236}">
                  <a16:creationId xmlns:a16="http://schemas.microsoft.com/office/drawing/2014/main" id="{00000000-0008-0000-0700-00004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127</xdr:row>
          <xdr:rowOff>57150</xdr:rowOff>
        </xdr:from>
        <xdr:to>
          <xdr:col>12</xdr:col>
          <xdr:colOff>638175</xdr:colOff>
          <xdr:row>127</xdr:row>
          <xdr:rowOff>180975</xdr:rowOff>
        </xdr:to>
        <xdr:sp macro="" textlink="">
          <xdr:nvSpPr>
            <xdr:cNvPr id="7489" name="OptionButton44" hidden="1">
              <a:extLst>
                <a:ext uri="{63B3BB69-23CF-44E3-9099-C40C66FF867C}">
                  <a14:compatExt spid="_x0000_s7489"/>
                </a:ext>
                <a:ext uri="{FF2B5EF4-FFF2-40B4-BE49-F238E27FC236}">
                  <a16:creationId xmlns:a16="http://schemas.microsoft.com/office/drawing/2014/main" id="{00000000-0008-0000-0700-00004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127</xdr:row>
          <xdr:rowOff>57150</xdr:rowOff>
        </xdr:from>
        <xdr:to>
          <xdr:col>13</xdr:col>
          <xdr:colOff>638175</xdr:colOff>
          <xdr:row>127</xdr:row>
          <xdr:rowOff>180975</xdr:rowOff>
        </xdr:to>
        <xdr:sp macro="" textlink="">
          <xdr:nvSpPr>
            <xdr:cNvPr id="7491" name="OptionButton45" hidden="1">
              <a:extLst>
                <a:ext uri="{63B3BB69-23CF-44E3-9099-C40C66FF867C}">
                  <a14:compatExt spid="_x0000_s7491"/>
                </a:ext>
                <a:ext uri="{FF2B5EF4-FFF2-40B4-BE49-F238E27FC236}">
                  <a16:creationId xmlns:a16="http://schemas.microsoft.com/office/drawing/2014/main" id="{00000000-0008-0000-0700-00004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127</xdr:row>
          <xdr:rowOff>57150</xdr:rowOff>
        </xdr:from>
        <xdr:to>
          <xdr:col>14</xdr:col>
          <xdr:colOff>638175</xdr:colOff>
          <xdr:row>127</xdr:row>
          <xdr:rowOff>180975</xdr:rowOff>
        </xdr:to>
        <xdr:sp macro="" textlink="">
          <xdr:nvSpPr>
            <xdr:cNvPr id="7492" name="OptionButton46" hidden="1">
              <a:extLst>
                <a:ext uri="{63B3BB69-23CF-44E3-9099-C40C66FF867C}">
                  <a14:compatExt spid="_x0000_s7492"/>
                </a:ext>
                <a:ext uri="{FF2B5EF4-FFF2-40B4-BE49-F238E27FC236}">
                  <a16:creationId xmlns:a16="http://schemas.microsoft.com/office/drawing/2014/main" id="{00000000-0008-0000-0700-00004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128</xdr:row>
          <xdr:rowOff>57150</xdr:rowOff>
        </xdr:from>
        <xdr:to>
          <xdr:col>12</xdr:col>
          <xdr:colOff>638175</xdr:colOff>
          <xdr:row>128</xdr:row>
          <xdr:rowOff>180975</xdr:rowOff>
        </xdr:to>
        <xdr:sp macro="" textlink="">
          <xdr:nvSpPr>
            <xdr:cNvPr id="7493" name="OptionButton47" hidden="1">
              <a:extLst>
                <a:ext uri="{63B3BB69-23CF-44E3-9099-C40C66FF867C}">
                  <a14:compatExt spid="_x0000_s7493"/>
                </a:ext>
                <a:ext uri="{FF2B5EF4-FFF2-40B4-BE49-F238E27FC236}">
                  <a16:creationId xmlns:a16="http://schemas.microsoft.com/office/drawing/2014/main" id="{00000000-0008-0000-0700-00004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128</xdr:row>
          <xdr:rowOff>57150</xdr:rowOff>
        </xdr:from>
        <xdr:to>
          <xdr:col>13</xdr:col>
          <xdr:colOff>638175</xdr:colOff>
          <xdr:row>128</xdr:row>
          <xdr:rowOff>180975</xdr:rowOff>
        </xdr:to>
        <xdr:sp macro="" textlink="">
          <xdr:nvSpPr>
            <xdr:cNvPr id="7494" name="OptionButton48" hidden="1">
              <a:extLst>
                <a:ext uri="{63B3BB69-23CF-44E3-9099-C40C66FF867C}">
                  <a14:compatExt spid="_x0000_s7494"/>
                </a:ext>
                <a:ext uri="{FF2B5EF4-FFF2-40B4-BE49-F238E27FC236}">
                  <a16:creationId xmlns:a16="http://schemas.microsoft.com/office/drawing/2014/main" id="{00000000-0008-0000-0700-00004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128</xdr:row>
          <xdr:rowOff>57150</xdr:rowOff>
        </xdr:from>
        <xdr:to>
          <xdr:col>14</xdr:col>
          <xdr:colOff>638175</xdr:colOff>
          <xdr:row>128</xdr:row>
          <xdr:rowOff>180975</xdr:rowOff>
        </xdr:to>
        <xdr:sp macro="" textlink="">
          <xdr:nvSpPr>
            <xdr:cNvPr id="7495" name="OptionButton49" hidden="1">
              <a:extLst>
                <a:ext uri="{63B3BB69-23CF-44E3-9099-C40C66FF867C}">
                  <a14:compatExt spid="_x0000_s7495"/>
                </a:ext>
                <a:ext uri="{FF2B5EF4-FFF2-40B4-BE49-F238E27FC236}">
                  <a16:creationId xmlns:a16="http://schemas.microsoft.com/office/drawing/2014/main" id="{00000000-0008-0000-0700-00004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129</xdr:row>
          <xdr:rowOff>57150</xdr:rowOff>
        </xdr:from>
        <xdr:to>
          <xdr:col>12</xdr:col>
          <xdr:colOff>638175</xdr:colOff>
          <xdr:row>129</xdr:row>
          <xdr:rowOff>180975</xdr:rowOff>
        </xdr:to>
        <xdr:sp macro="" textlink="">
          <xdr:nvSpPr>
            <xdr:cNvPr id="7496" name="OptionButton50" hidden="1">
              <a:extLst>
                <a:ext uri="{63B3BB69-23CF-44E3-9099-C40C66FF867C}">
                  <a14:compatExt spid="_x0000_s7496"/>
                </a:ext>
                <a:ext uri="{FF2B5EF4-FFF2-40B4-BE49-F238E27FC236}">
                  <a16:creationId xmlns:a16="http://schemas.microsoft.com/office/drawing/2014/main" id="{00000000-0008-0000-0700-00004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129</xdr:row>
          <xdr:rowOff>57150</xdr:rowOff>
        </xdr:from>
        <xdr:to>
          <xdr:col>13</xdr:col>
          <xdr:colOff>638175</xdr:colOff>
          <xdr:row>129</xdr:row>
          <xdr:rowOff>180975</xdr:rowOff>
        </xdr:to>
        <xdr:sp macro="" textlink="">
          <xdr:nvSpPr>
            <xdr:cNvPr id="7497" name="OptionButton51" hidden="1">
              <a:extLst>
                <a:ext uri="{63B3BB69-23CF-44E3-9099-C40C66FF867C}">
                  <a14:compatExt spid="_x0000_s7497"/>
                </a:ext>
                <a:ext uri="{FF2B5EF4-FFF2-40B4-BE49-F238E27FC236}">
                  <a16:creationId xmlns:a16="http://schemas.microsoft.com/office/drawing/2014/main" id="{00000000-0008-0000-0700-00004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129</xdr:row>
          <xdr:rowOff>57150</xdr:rowOff>
        </xdr:from>
        <xdr:to>
          <xdr:col>14</xdr:col>
          <xdr:colOff>638175</xdr:colOff>
          <xdr:row>129</xdr:row>
          <xdr:rowOff>180975</xdr:rowOff>
        </xdr:to>
        <xdr:sp macro="" textlink="">
          <xdr:nvSpPr>
            <xdr:cNvPr id="7498" name="OptionButton52" hidden="1">
              <a:extLst>
                <a:ext uri="{63B3BB69-23CF-44E3-9099-C40C66FF867C}">
                  <a14:compatExt spid="_x0000_s7498"/>
                </a:ext>
                <a:ext uri="{FF2B5EF4-FFF2-40B4-BE49-F238E27FC236}">
                  <a16:creationId xmlns:a16="http://schemas.microsoft.com/office/drawing/2014/main" id="{00000000-0008-0000-0700-00004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180</xdr:row>
          <xdr:rowOff>57150</xdr:rowOff>
        </xdr:from>
        <xdr:to>
          <xdr:col>10</xdr:col>
          <xdr:colOff>342900</xdr:colOff>
          <xdr:row>180</xdr:row>
          <xdr:rowOff>209550</xdr:rowOff>
        </xdr:to>
        <xdr:sp macro="" textlink="">
          <xdr:nvSpPr>
            <xdr:cNvPr id="7499" name="OptionButton53" hidden="1">
              <a:extLst>
                <a:ext uri="{63B3BB69-23CF-44E3-9099-C40C66FF867C}">
                  <a14:compatExt spid="_x0000_s7499"/>
                </a:ext>
                <a:ext uri="{FF2B5EF4-FFF2-40B4-BE49-F238E27FC236}">
                  <a16:creationId xmlns:a16="http://schemas.microsoft.com/office/drawing/2014/main" id="{00000000-0008-0000-0700-00004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180</xdr:row>
          <xdr:rowOff>57150</xdr:rowOff>
        </xdr:from>
        <xdr:to>
          <xdr:col>12</xdr:col>
          <xdr:colOff>685800</xdr:colOff>
          <xdr:row>180</xdr:row>
          <xdr:rowOff>209550</xdr:rowOff>
        </xdr:to>
        <xdr:sp macro="" textlink="">
          <xdr:nvSpPr>
            <xdr:cNvPr id="7500" name="OptionButton54" hidden="1">
              <a:extLst>
                <a:ext uri="{63B3BB69-23CF-44E3-9099-C40C66FF867C}">
                  <a14:compatExt spid="_x0000_s7500"/>
                </a:ext>
                <a:ext uri="{FF2B5EF4-FFF2-40B4-BE49-F238E27FC236}">
                  <a16:creationId xmlns:a16="http://schemas.microsoft.com/office/drawing/2014/main" id="{00000000-0008-0000-0700-00004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180</xdr:row>
          <xdr:rowOff>47625</xdr:rowOff>
        </xdr:from>
        <xdr:to>
          <xdr:col>13</xdr:col>
          <xdr:colOff>657225</xdr:colOff>
          <xdr:row>180</xdr:row>
          <xdr:rowOff>190500</xdr:rowOff>
        </xdr:to>
        <xdr:sp macro="" textlink="">
          <xdr:nvSpPr>
            <xdr:cNvPr id="7501" name="OptionButton55" hidden="1">
              <a:extLst>
                <a:ext uri="{63B3BB69-23CF-44E3-9099-C40C66FF867C}">
                  <a14:compatExt spid="_x0000_s7501"/>
                </a:ext>
                <a:ext uri="{FF2B5EF4-FFF2-40B4-BE49-F238E27FC236}">
                  <a16:creationId xmlns:a16="http://schemas.microsoft.com/office/drawing/2014/main" id="{00000000-0008-0000-0700-00004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181</xdr:row>
          <xdr:rowOff>57150</xdr:rowOff>
        </xdr:from>
        <xdr:to>
          <xdr:col>10</xdr:col>
          <xdr:colOff>342900</xdr:colOff>
          <xdr:row>181</xdr:row>
          <xdr:rowOff>209550</xdr:rowOff>
        </xdr:to>
        <xdr:sp macro="" textlink="">
          <xdr:nvSpPr>
            <xdr:cNvPr id="7502" name="OptionButton56" hidden="1">
              <a:extLst>
                <a:ext uri="{63B3BB69-23CF-44E3-9099-C40C66FF867C}">
                  <a14:compatExt spid="_x0000_s7502"/>
                </a:ext>
                <a:ext uri="{FF2B5EF4-FFF2-40B4-BE49-F238E27FC236}">
                  <a16:creationId xmlns:a16="http://schemas.microsoft.com/office/drawing/2014/main" id="{00000000-0008-0000-0700-00004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181</xdr:row>
          <xdr:rowOff>38100</xdr:rowOff>
        </xdr:from>
        <xdr:to>
          <xdr:col>12</xdr:col>
          <xdr:colOff>685800</xdr:colOff>
          <xdr:row>181</xdr:row>
          <xdr:rowOff>180975</xdr:rowOff>
        </xdr:to>
        <xdr:sp macro="" textlink="">
          <xdr:nvSpPr>
            <xdr:cNvPr id="7503" name="OptionButton57" hidden="1">
              <a:extLst>
                <a:ext uri="{63B3BB69-23CF-44E3-9099-C40C66FF867C}">
                  <a14:compatExt spid="_x0000_s7503"/>
                </a:ext>
                <a:ext uri="{FF2B5EF4-FFF2-40B4-BE49-F238E27FC236}">
                  <a16:creationId xmlns:a16="http://schemas.microsoft.com/office/drawing/2014/main" id="{00000000-0008-0000-0700-00004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504825</xdr:colOff>
          <xdr:row>181</xdr:row>
          <xdr:rowOff>47625</xdr:rowOff>
        </xdr:from>
        <xdr:to>
          <xdr:col>13</xdr:col>
          <xdr:colOff>666750</xdr:colOff>
          <xdr:row>181</xdr:row>
          <xdr:rowOff>190500</xdr:rowOff>
        </xdr:to>
        <xdr:sp macro="" textlink="">
          <xdr:nvSpPr>
            <xdr:cNvPr id="7504" name="OptionButton58" hidden="1">
              <a:extLst>
                <a:ext uri="{63B3BB69-23CF-44E3-9099-C40C66FF867C}">
                  <a14:compatExt spid="_x0000_s7504"/>
                </a:ext>
                <a:ext uri="{FF2B5EF4-FFF2-40B4-BE49-F238E27FC236}">
                  <a16:creationId xmlns:a16="http://schemas.microsoft.com/office/drawing/2014/main" id="{00000000-0008-0000-0700-00005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182</xdr:row>
          <xdr:rowOff>57150</xdr:rowOff>
        </xdr:from>
        <xdr:to>
          <xdr:col>10</xdr:col>
          <xdr:colOff>333375</xdr:colOff>
          <xdr:row>182</xdr:row>
          <xdr:rowOff>209550</xdr:rowOff>
        </xdr:to>
        <xdr:sp macro="" textlink="">
          <xdr:nvSpPr>
            <xdr:cNvPr id="7505" name="OptionButton59" hidden="1">
              <a:extLst>
                <a:ext uri="{63B3BB69-23CF-44E3-9099-C40C66FF867C}">
                  <a14:compatExt spid="_x0000_s7505"/>
                </a:ext>
                <a:ext uri="{FF2B5EF4-FFF2-40B4-BE49-F238E27FC236}">
                  <a16:creationId xmlns:a16="http://schemas.microsoft.com/office/drawing/2014/main" id="{00000000-0008-0000-0700-00005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533400</xdr:colOff>
          <xdr:row>182</xdr:row>
          <xdr:rowOff>47625</xdr:rowOff>
        </xdr:from>
        <xdr:to>
          <xdr:col>12</xdr:col>
          <xdr:colOff>695325</xdr:colOff>
          <xdr:row>182</xdr:row>
          <xdr:rowOff>190500</xdr:rowOff>
        </xdr:to>
        <xdr:sp macro="" textlink="">
          <xdr:nvSpPr>
            <xdr:cNvPr id="7506" name="OptionButton60" hidden="1">
              <a:extLst>
                <a:ext uri="{63B3BB69-23CF-44E3-9099-C40C66FF867C}">
                  <a14:compatExt spid="_x0000_s7506"/>
                </a:ext>
                <a:ext uri="{FF2B5EF4-FFF2-40B4-BE49-F238E27FC236}">
                  <a16:creationId xmlns:a16="http://schemas.microsoft.com/office/drawing/2014/main" id="{00000000-0008-0000-0700-00005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182</xdr:row>
          <xdr:rowOff>47625</xdr:rowOff>
        </xdr:from>
        <xdr:to>
          <xdr:col>13</xdr:col>
          <xdr:colOff>657225</xdr:colOff>
          <xdr:row>182</xdr:row>
          <xdr:rowOff>190500</xdr:rowOff>
        </xdr:to>
        <xdr:sp macro="" textlink="">
          <xdr:nvSpPr>
            <xdr:cNvPr id="7507" name="OptionButton61" hidden="1">
              <a:extLst>
                <a:ext uri="{63B3BB69-23CF-44E3-9099-C40C66FF867C}">
                  <a14:compatExt spid="_x0000_s7507"/>
                </a:ext>
                <a:ext uri="{FF2B5EF4-FFF2-40B4-BE49-F238E27FC236}">
                  <a16:creationId xmlns:a16="http://schemas.microsoft.com/office/drawing/2014/main" id="{00000000-0008-0000-0700-00005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193</xdr:row>
          <xdr:rowOff>57150</xdr:rowOff>
        </xdr:from>
        <xdr:to>
          <xdr:col>13</xdr:col>
          <xdr:colOff>647700</xdr:colOff>
          <xdr:row>193</xdr:row>
          <xdr:rowOff>219075</xdr:rowOff>
        </xdr:to>
        <xdr:sp macro="" textlink="">
          <xdr:nvSpPr>
            <xdr:cNvPr id="7508" name="OptionButton62" hidden="1">
              <a:extLst>
                <a:ext uri="{63B3BB69-23CF-44E3-9099-C40C66FF867C}">
                  <a14:compatExt spid="_x0000_s7508"/>
                </a:ext>
                <a:ext uri="{FF2B5EF4-FFF2-40B4-BE49-F238E27FC236}">
                  <a16:creationId xmlns:a16="http://schemas.microsoft.com/office/drawing/2014/main" id="{00000000-0008-0000-0700-00005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193</xdr:row>
          <xdr:rowOff>57150</xdr:rowOff>
        </xdr:from>
        <xdr:to>
          <xdr:col>14</xdr:col>
          <xdr:colOff>647700</xdr:colOff>
          <xdr:row>193</xdr:row>
          <xdr:rowOff>219075</xdr:rowOff>
        </xdr:to>
        <xdr:sp macro="" textlink="">
          <xdr:nvSpPr>
            <xdr:cNvPr id="7509" name="OptionButton63" hidden="1">
              <a:extLst>
                <a:ext uri="{63B3BB69-23CF-44E3-9099-C40C66FF867C}">
                  <a14:compatExt spid="_x0000_s7509"/>
                </a:ext>
                <a:ext uri="{FF2B5EF4-FFF2-40B4-BE49-F238E27FC236}">
                  <a16:creationId xmlns:a16="http://schemas.microsoft.com/office/drawing/2014/main" id="{00000000-0008-0000-0700-00005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193</xdr:row>
          <xdr:rowOff>57150</xdr:rowOff>
        </xdr:from>
        <xdr:to>
          <xdr:col>15</xdr:col>
          <xdr:colOff>647700</xdr:colOff>
          <xdr:row>193</xdr:row>
          <xdr:rowOff>219075</xdr:rowOff>
        </xdr:to>
        <xdr:sp macro="" textlink="">
          <xdr:nvSpPr>
            <xdr:cNvPr id="7510" name="OptionButton64" hidden="1">
              <a:extLst>
                <a:ext uri="{63B3BB69-23CF-44E3-9099-C40C66FF867C}">
                  <a14:compatExt spid="_x0000_s7510"/>
                </a:ext>
                <a:ext uri="{FF2B5EF4-FFF2-40B4-BE49-F238E27FC236}">
                  <a16:creationId xmlns:a16="http://schemas.microsoft.com/office/drawing/2014/main" id="{00000000-0008-0000-0700-00005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195</xdr:row>
          <xdr:rowOff>57150</xdr:rowOff>
        </xdr:from>
        <xdr:to>
          <xdr:col>13</xdr:col>
          <xdr:colOff>647700</xdr:colOff>
          <xdr:row>195</xdr:row>
          <xdr:rowOff>219075</xdr:rowOff>
        </xdr:to>
        <xdr:sp macro="" textlink="">
          <xdr:nvSpPr>
            <xdr:cNvPr id="7514" name="OptionButton68" hidden="1">
              <a:extLst>
                <a:ext uri="{63B3BB69-23CF-44E3-9099-C40C66FF867C}">
                  <a14:compatExt spid="_x0000_s7514"/>
                </a:ext>
                <a:ext uri="{FF2B5EF4-FFF2-40B4-BE49-F238E27FC236}">
                  <a16:creationId xmlns:a16="http://schemas.microsoft.com/office/drawing/2014/main" id="{00000000-0008-0000-0700-00005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195</xdr:row>
          <xdr:rowOff>57150</xdr:rowOff>
        </xdr:from>
        <xdr:to>
          <xdr:col>14</xdr:col>
          <xdr:colOff>647700</xdr:colOff>
          <xdr:row>195</xdr:row>
          <xdr:rowOff>219075</xdr:rowOff>
        </xdr:to>
        <xdr:sp macro="" textlink="">
          <xdr:nvSpPr>
            <xdr:cNvPr id="7515" name="OptionButton69" hidden="1">
              <a:extLst>
                <a:ext uri="{63B3BB69-23CF-44E3-9099-C40C66FF867C}">
                  <a14:compatExt spid="_x0000_s7515"/>
                </a:ext>
                <a:ext uri="{FF2B5EF4-FFF2-40B4-BE49-F238E27FC236}">
                  <a16:creationId xmlns:a16="http://schemas.microsoft.com/office/drawing/2014/main" id="{00000000-0008-0000-0700-00005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195</xdr:row>
          <xdr:rowOff>57150</xdr:rowOff>
        </xdr:from>
        <xdr:to>
          <xdr:col>15</xdr:col>
          <xdr:colOff>647700</xdr:colOff>
          <xdr:row>195</xdr:row>
          <xdr:rowOff>219075</xdr:rowOff>
        </xdr:to>
        <xdr:sp macro="" textlink="">
          <xdr:nvSpPr>
            <xdr:cNvPr id="7516" name="OptionButton70" hidden="1">
              <a:extLst>
                <a:ext uri="{63B3BB69-23CF-44E3-9099-C40C66FF867C}">
                  <a14:compatExt spid="_x0000_s7516"/>
                </a:ext>
                <a:ext uri="{FF2B5EF4-FFF2-40B4-BE49-F238E27FC236}">
                  <a16:creationId xmlns:a16="http://schemas.microsoft.com/office/drawing/2014/main" id="{00000000-0008-0000-0700-00005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196</xdr:row>
          <xdr:rowOff>47625</xdr:rowOff>
        </xdr:from>
        <xdr:to>
          <xdr:col>13</xdr:col>
          <xdr:colOff>647700</xdr:colOff>
          <xdr:row>196</xdr:row>
          <xdr:rowOff>209550</xdr:rowOff>
        </xdr:to>
        <xdr:sp macro="" textlink="">
          <xdr:nvSpPr>
            <xdr:cNvPr id="7517" name="OptionButton71" hidden="1">
              <a:extLst>
                <a:ext uri="{63B3BB69-23CF-44E3-9099-C40C66FF867C}">
                  <a14:compatExt spid="_x0000_s7517"/>
                </a:ext>
                <a:ext uri="{FF2B5EF4-FFF2-40B4-BE49-F238E27FC236}">
                  <a16:creationId xmlns:a16="http://schemas.microsoft.com/office/drawing/2014/main" id="{00000000-0008-0000-0700-00005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198</xdr:row>
          <xdr:rowOff>85725</xdr:rowOff>
        </xdr:from>
        <xdr:to>
          <xdr:col>13</xdr:col>
          <xdr:colOff>647700</xdr:colOff>
          <xdr:row>198</xdr:row>
          <xdr:rowOff>247650</xdr:rowOff>
        </xdr:to>
        <xdr:sp macro="" textlink="">
          <xdr:nvSpPr>
            <xdr:cNvPr id="7523" name="OptionButton77" hidden="1">
              <a:extLst>
                <a:ext uri="{63B3BB69-23CF-44E3-9099-C40C66FF867C}">
                  <a14:compatExt spid="_x0000_s7523"/>
                </a:ext>
                <a:ext uri="{FF2B5EF4-FFF2-40B4-BE49-F238E27FC236}">
                  <a16:creationId xmlns:a16="http://schemas.microsoft.com/office/drawing/2014/main" id="{00000000-0008-0000-0700-00006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198</xdr:row>
          <xdr:rowOff>85725</xdr:rowOff>
        </xdr:from>
        <xdr:to>
          <xdr:col>14</xdr:col>
          <xdr:colOff>647700</xdr:colOff>
          <xdr:row>198</xdr:row>
          <xdr:rowOff>247650</xdr:rowOff>
        </xdr:to>
        <xdr:sp macro="" textlink="">
          <xdr:nvSpPr>
            <xdr:cNvPr id="7525" name="OptionButton78" hidden="1">
              <a:extLst>
                <a:ext uri="{63B3BB69-23CF-44E3-9099-C40C66FF867C}">
                  <a14:compatExt spid="_x0000_s7525"/>
                </a:ext>
                <a:ext uri="{FF2B5EF4-FFF2-40B4-BE49-F238E27FC236}">
                  <a16:creationId xmlns:a16="http://schemas.microsoft.com/office/drawing/2014/main" id="{00000000-0008-0000-0700-00006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198</xdr:row>
          <xdr:rowOff>85725</xdr:rowOff>
        </xdr:from>
        <xdr:to>
          <xdr:col>15</xdr:col>
          <xdr:colOff>647700</xdr:colOff>
          <xdr:row>198</xdr:row>
          <xdr:rowOff>247650</xdr:rowOff>
        </xdr:to>
        <xdr:sp macro="" textlink="">
          <xdr:nvSpPr>
            <xdr:cNvPr id="7526" name="OptionButton79" hidden="1">
              <a:extLst>
                <a:ext uri="{63B3BB69-23CF-44E3-9099-C40C66FF867C}">
                  <a14:compatExt spid="_x0000_s7526"/>
                </a:ext>
                <a:ext uri="{FF2B5EF4-FFF2-40B4-BE49-F238E27FC236}">
                  <a16:creationId xmlns:a16="http://schemas.microsoft.com/office/drawing/2014/main" id="{00000000-0008-0000-0700-00006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199</xdr:row>
          <xdr:rowOff>85725</xdr:rowOff>
        </xdr:from>
        <xdr:to>
          <xdr:col>13</xdr:col>
          <xdr:colOff>647700</xdr:colOff>
          <xdr:row>199</xdr:row>
          <xdr:rowOff>247650</xdr:rowOff>
        </xdr:to>
        <xdr:sp macro="" textlink="">
          <xdr:nvSpPr>
            <xdr:cNvPr id="7527" name="OptionButton80" hidden="1">
              <a:extLst>
                <a:ext uri="{63B3BB69-23CF-44E3-9099-C40C66FF867C}">
                  <a14:compatExt spid="_x0000_s7527"/>
                </a:ext>
                <a:ext uri="{FF2B5EF4-FFF2-40B4-BE49-F238E27FC236}">
                  <a16:creationId xmlns:a16="http://schemas.microsoft.com/office/drawing/2014/main" id="{00000000-0008-0000-0700-00006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199</xdr:row>
          <xdr:rowOff>85725</xdr:rowOff>
        </xdr:from>
        <xdr:to>
          <xdr:col>14</xdr:col>
          <xdr:colOff>647700</xdr:colOff>
          <xdr:row>199</xdr:row>
          <xdr:rowOff>247650</xdr:rowOff>
        </xdr:to>
        <xdr:sp macro="" textlink="">
          <xdr:nvSpPr>
            <xdr:cNvPr id="7528" name="OptionButton81" hidden="1">
              <a:extLst>
                <a:ext uri="{63B3BB69-23CF-44E3-9099-C40C66FF867C}">
                  <a14:compatExt spid="_x0000_s7528"/>
                </a:ext>
                <a:ext uri="{FF2B5EF4-FFF2-40B4-BE49-F238E27FC236}">
                  <a16:creationId xmlns:a16="http://schemas.microsoft.com/office/drawing/2014/main" id="{00000000-0008-0000-0700-00006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199</xdr:row>
          <xdr:rowOff>85725</xdr:rowOff>
        </xdr:from>
        <xdr:to>
          <xdr:col>15</xdr:col>
          <xdr:colOff>647700</xdr:colOff>
          <xdr:row>199</xdr:row>
          <xdr:rowOff>247650</xdr:rowOff>
        </xdr:to>
        <xdr:sp macro="" textlink="">
          <xdr:nvSpPr>
            <xdr:cNvPr id="7529" name="OptionButton82" hidden="1">
              <a:extLst>
                <a:ext uri="{63B3BB69-23CF-44E3-9099-C40C66FF867C}">
                  <a14:compatExt spid="_x0000_s7529"/>
                </a:ext>
                <a:ext uri="{FF2B5EF4-FFF2-40B4-BE49-F238E27FC236}">
                  <a16:creationId xmlns:a16="http://schemas.microsoft.com/office/drawing/2014/main" id="{00000000-0008-0000-0700-00006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200</xdr:row>
          <xdr:rowOff>85725</xdr:rowOff>
        </xdr:from>
        <xdr:to>
          <xdr:col>13</xdr:col>
          <xdr:colOff>647700</xdr:colOff>
          <xdr:row>200</xdr:row>
          <xdr:rowOff>247650</xdr:rowOff>
        </xdr:to>
        <xdr:sp macro="" textlink="">
          <xdr:nvSpPr>
            <xdr:cNvPr id="7530" name="OptionButton83" hidden="1">
              <a:extLst>
                <a:ext uri="{63B3BB69-23CF-44E3-9099-C40C66FF867C}">
                  <a14:compatExt spid="_x0000_s7530"/>
                </a:ext>
                <a:ext uri="{FF2B5EF4-FFF2-40B4-BE49-F238E27FC236}">
                  <a16:creationId xmlns:a16="http://schemas.microsoft.com/office/drawing/2014/main" id="{00000000-0008-0000-0700-00006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200</xdr:row>
          <xdr:rowOff>85725</xdr:rowOff>
        </xdr:from>
        <xdr:to>
          <xdr:col>14</xdr:col>
          <xdr:colOff>647700</xdr:colOff>
          <xdr:row>200</xdr:row>
          <xdr:rowOff>247650</xdr:rowOff>
        </xdr:to>
        <xdr:sp macro="" textlink="">
          <xdr:nvSpPr>
            <xdr:cNvPr id="7531" name="OptionButton84" hidden="1">
              <a:extLst>
                <a:ext uri="{63B3BB69-23CF-44E3-9099-C40C66FF867C}">
                  <a14:compatExt spid="_x0000_s7531"/>
                </a:ext>
                <a:ext uri="{FF2B5EF4-FFF2-40B4-BE49-F238E27FC236}">
                  <a16:creationId xmlns:a16="http://schemas.microsoft.com/office/drawing/2014/main" id="{00000000-0008-0000-0700-00006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200</xdr:row>
          <xdr:rowOff>85725</xdr:rowOff>
        </xdr:from>
        <xdr:to>
          <xdr:col>15</xdr:col>
          <xdr:colOff>647700</xdr:colOff>
          <xdr:row>200</xdr:row>
          <xdr:rowOff>247650</xdr:rowOff>
        </xdr:to>
        <xdr:sp macro="" textlink="">
          <xdr:nvSpPr>
            <xdr:cNvPr id="7532" name="OptionButton85" hidden="1">
              <a:extLst>
                <a:ext uri="{63B3BB69-23CF-44E3-9099-C40C66FF867C}">
                  <a14:compatExt spid="_x0000_s7532"/>
                </a:ext>
                <a:ext uri="{FF2B5EF4-FFF2-40B4-BE49-F238E27FC236}">
                  <a16:creationId xmlns:a16="http://schemas.microsoft.com/office/drawing/2014/main" id="{00000000-0008-0000-0700-00006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201</xdr:row>
          <xdr:rowOff>85725</xdr:rowOff>
        </xdr:from>
        <xdr:to>
          <xdr:col>13</xdr:col>
          <xdr:colOff>647700</xdr:colOff>
          <xdr:row>201</xdr:row>
          <xdr:rowOff>247650</xdr:rowOff>
        </xdr:to>
        <xdr:sp macro="" textlink="">
          <xdr:nvSpPr>
            <xdr:cNvPr id="7533" name="OptionButton86" hidden="1">
              <a:extLst>
                <a:ext uri="{63B3BB69-23CF-44E3-9099-C40C66FF867C}">
                  <a14:compatExt spid="_x0000_s7533"/>
                </a:ext>
                <a:ext uri="{FF2B5EF4-FFF2-40B4-BE49-F238E27FC236}">
                  <a16:creationId xmlns:a16="http://schemas.microsoft.com/office/drawing/2014/main" id="{00000000-0008-0000-0700-00006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201</xdr:row>
          <xdr:rowOff>85725</xdr:rowOff>
        </xdr:from>
        <xdr:to>
          <xdr:col>14</xdr:col>
          <xdr:colOff>647700</xdr:colOff>
          <xdr:row>201</xdr:row>
          <xdr:rowOff>247650</xdr:rowOff>
        </xdr:to>
        <xdr:sp macro="" textlink="">
          <xdr:nvSpPr>
            <xdr:cNvPr id="7534" name="OptionButton87" hidden="1">
              <a:extLst>
                <a:ext uri="{63B3BB69-23CF-44E3-9099-C40C66FF867C}">
                  <a14:compatExt spid="_x0000_s7534"/>
                </a:ext>
                <a:ext uri="{FF2B5EF4-FFF2-40B4-BE49-F238E27FC236}">
                  <a16:creationId xmlns:a16="http://schemas.microsoft.com/office/drawing/2014/main" id="{00000000-0008-0000-0700-00006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201</xdr:row>
          <xdr:rowOff>85725</xdr:rowOff>
        </xdr:from>
        <xdr:to>
          <xdr:col>15</xdr:col>
          <xdr:colOff>647700</xdr:colOff>
          <xdr:row>201</xdr:row>
          <xdr:rowOff>247650</xdr:rowOff>
        </xdr:to>
        <xdr:sp macro="" textlink="">
          <xdr:nvSpPr>
            <xdr:cNvPr id="7535" name="OptionButton88" hidden="1">
              <a:extLst>
                <a:ext uri="{63B3BB69-23CF-44E3-9099-C40C66FF867C}">
                  <a14:compatExt spid="_x0000_s7535"/>
                </a:ext>
                <a:ext uri="{FF2B5EF4-FFF2-40B4-BE49-F238E27FC236}">
                  <a16:creationId xmlns:a16="http://schemas.microsoft.com/office/drawing/2014/main" id="{00000000-0008-0000-0700-00006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202</xdr:row>
          <xdr:rowOff>85725</xdr:rowOff>
        </xdr:from>
        <xdr:to>
          <xdr:col>13</xdr:col>
          <xdr:colOff>638175</xdr:colOff>
          <xdr:row>202</xdr:row>
          <xdr:rowOff>247650</xdr:rowOff>
        </xdr:to>
        <xdr:sp macro="" textlink="">
          <xdr:nvSpPr>
            <xdr:cNvPr id="7536" name="OptionButton89" hidden="1">
              <a:extLst>
                <a:ext uri="{63B3BB69-23CF-44E3-9099-C40C66FF867C}">
                  <a14:compatExt spid="_x0000_s7536"/>
                </a:ext>
                <a:ext uri="{FF2B5EF4-FFF2-40B4-BE49-F238E27FC236}">
                  <a16:creationId xmlns:a16="http://schemas.microsoft.com/office/drawing/2014/main" id="{00000000-0008-0000-0700-00007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202</xdr:row>
          <xdr:rowOff>85725</xdr:rowOff>
        </xdr:from>
        <xdr:to>
          <xdr:col>14</xdr:col>
          <xdr:colOff>638175</xdr:colOff>
          <xdr:row>202</xdr:row>
          <xdr:rowOff>247650</xdr:rowOff>
        </xdr:to>
        <xdr:sp macro="" textlink="">
          <xdr:nvSpPr>
            <xdr:cNvPr id="7537" name="OptionButton90" hidden="1">
              <a:extLst>
                <a:ext uri="{63B3BB69-23CF-44E3-9099-C40C66FF867C}">
                  <a14:compatExt spid="_x0000_s7537"/>
                </a:ext>
                <a:ext uri="{FF2B5EF4-FFF2-40B4-BE49-F238E27FC236}">
                  <a16:creationId xmlns:a16="http://schemas.microsoft.com/office/drawing/2014/main" id="{00000000-0008-0000-0700-00007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202</xdr:row>
          <xdr:rowOff>85725</xdr:rowOff>
        </xdr:from>
        <xdr:to>
          <xdr:col>15</xdr:col>
          <xdr:colOff>638175</xdr:colOff>
          <xdr:row>202</xdr:row>
          <xdr:rowOff>247650</xdr:rowOff>
        </xdr:to>
        <xdr:sp macro="" textlink="">
          <xdr:nvSpPr>
            <xdr:cNvPr id="7538" name="OptionButton91" hidden="1">
              <a:extLst>
                <a:ext uri="{63B3BB69-23CF-44E3-9099-C40C66FF867C}">
                  <a14:compatExt spid="_x0000_s7538"/>
                </a:ext>
                <a:ext uri="{FF2B5EF4-FFF2-40B4-BE49-F238E27FC236}">
                  <a16:creationId xmlns:a16="http://schemas.microsoft.com/office/drawing/2014/main" id="{00000000-0008-0000-0700-00007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203</xdr:row>
          <xdr:rowOff>85725</xdr:rowOff>
        </xdr:from>
        <xdr:to>
          <xdr:col>13</xdr:col>
          <xdr:colOff>638175</xdr:colOff>
          <xdr:row>203</xdr:row>
          <xdr:rowOff>247650</xdr:rowOff>
        </xdr:to>
        <xdr:sp macro="" textlink="">
          <xdr:nvSpPr>
            <xdr:cNvPr id="7539" name="OptionButton92" hidden="1">
              <a:extLst>
                <a:ext uri="{63B3BB69-23CF-44E3-9099-C40C66FF867C}">
                  <a14:compatExt spid="_x0000_s7539"/>
                </a:ext>
                <a:ext uri="{FF2B5EF4-FFF2-40B4-BE49-F238E27FC236}">
                  <a16:creationId xmlns:a16="http://schemas.microsoft.com/office/drawing/2014/main" id="{00000000-0008-0000-0700-00007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203</xdr:row>
          <xdr:rowOff>85725</xdr:rowOff>
        </xdr:from>
        <xdr:to>
          <xdr:col>14</xdr:col>
          <xdr:colOff>638175</xdr:colOff>
          <xdr:row>203</xdr:row>
          <xdr:rowOff>247650</xdr:rowOff>
        </xdr:to>
        <xdr:sp macro="" textlink="">
          <xdr:nvSpPr>
            <xdr:cNvPr id="7540" name="OptionButton93" hidden="1">
              <a:extLst>
                <a:ext uri="{63B3BB69-23CF-44E3-9099-C40C66FF867C}">
                  <a14:compatExt spid="_x0000_s7540"/>
                </a:ext>
                <a:ext uri="{FF2B5EF4-FFF2-40B4-BE49-F238E27FC236}">
                  <a16:creationId xmlns:a16="http://schemas.microsoft.com/office/drawing/2014/main" id="{00000000-0008-0000-0700-00007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203</xdr:row>
          <xdr:rowOff>85725</xdr:rowOff>
        </xdr:from>
        <xdr:to>
          <xdr:col>15</xdr:col>
          <xdr:colOff>638175</xdr:colOff>
          <xdr:row>203</xdr:row>
          <xdr:rowOff>247650</xdr:rowOff>
        </xdr:to>
        <xdr:sp macro="" textlink="">
          <xdr:nvSpPr>
            <xdr:cNvPr id="7541" name="OptionButton94" hidden="1">
              <a:extLst>
                <a:ext uri="{63B3BB69-23CF-44E3-9099-C40C66FF867C}">
                  <a14:compatExt spid="_x0000_s7541"/>
                </a:ext>
                <a:ext uri="{FF2B5EF4-FFF2-40B4-BE49-F238E27FC236}">
                  <a16:creationId xmlns:a16="http://schemas.microsoft.com/office/drawing/2014/main" id="{00000000-0008-0000-0700-00007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204</xdr:row>
          <xdr:rowOff>85725</xdr:rowOff>
        </xdr:from>
        <xdr:to>
          <xdr:col>13</xdr:col>
          <xdr:colOff>638175</xdr:colOff>
          <xdr:row>204</xdr:row>
          <xdr:rowOff>247650</xdr:rowOff>
        </xdr:to>
        <xdr:sp macro="" textlink="">
          <xdr:nvSpPr>
            <xdr:cNvPr id="7542" name="OptionButton95" hidden="1">
              <a:extLst>
                <a:ext uri="{63B3BB69-23CF-44E3-9099-C40C66FF867C}">
                  <a14:compatExt spid="_x0000_s7542"/>
                </a:ext>
                <a:ext uri="{FF2B5EF4-FFF2-40B4-BE49-F238E27FC236}">
                  <a16:creationId xmlns:a16="http://schemas.microsoft.com/office/drawing/2014/main" id="{00000000-0008-0000-0700-00007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204</xdr:row>
          <xdr:rowOff>85725</xdr:rowOff>
        </xdr:from>
        <xdr:to>
          <xdr:col>14</xdr:col>
          <xdr:colOff>638175</xdr:colOff>
          <xdr:row>204</xdr:row>
          <xdr:rowOff>247650</xdr:rowOff>
        </xdr:to>
        <xdr:sp macro="" textlink="">
          <xdr:nvSpPr>
            <xdr:cNvPr id="7544" name="OptionButton96" hidden="1">
              <a:extLst>
                <a:ext uri="{63B3BB69-23CF-44E3-9099-C40C66FF867C}">
                  <a14:compatExt spid="_x0000_s7544"/>
                </a:ext>
                <a:ext uri="{FF2B5EF4-FFF2-40B4-BE49-F238E27FC236}">
                  <a16:creationId xmlns:a16="http://schemas.microsoft.com/office/drawing/2014/main" id="{00000000-0008-0000-0700-00007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204</xdr:row>
          <xdr:rowOff>85725</xdr:rowOff>
        </xdr:from>
        <xdr:to>
          <xdr:col>15</xdr:col>
          <xdr:colOff>638175</xdr:colOff>
          <xdr:row>204</xdr:row>
          <xdr:rowOff>247650</xdr:rowOff>
        </xdr:to>
        <xdr:sp macro="" textlink="">
          <xdr:nvSpPr>
            <xdr:cNvPr id="7545" name="OptionButton97" hidden="1">
              <a:extLst>
                <a:ext uri="{63B3BB69-23CF-44E3-9099-C40C66FF867C}">
                  <a14:compatExt spid="_x0000_s7545"/>
                </a:ext>
                <a:ext uri="{FF2B5EF4-FFF2-40B4-BE49-F238E27FC236}">
                  <a16:creationId xmlns:a16="http://schemas.microsoft.com/office/drawing/2014/main" id="{00000000-0008-0000-0700-00007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205</xdr:row>
          <xdr:rowOff>85725</xdr:rowOff>
        </xdr:from>
        <xdr:to>
          <xdr:col>13</xdr:col>
          <xdr:colOff>638175</xdr:colOff>
          <xdr:row>205</xdr:row>
          <xdr:rowOff>247650</xdr:rowOff>
        </xdr:to>
        <xdr:sp macro="" textlink="">
          <xdr:nvSpPr>
            <xdr:cNvPr id="7546" name="OptionButton98" hidden="1">
              <a:extLst>
                <a:ext uri="{63B3BB69-23CF-44E3-9099-C40C66FF867C}">
                  <a14:compatExt spid="_x0000_s7546"/>
                </a:ext>
                <a:ext uri="{FF2B5EF4-FFF2-40B4-BE49-F238E27FC236}">
                  <a16:creationId xmlns:a16="http://schemas.microsoft.com/office/drawing/2014/main" id="{00000000-0008-0000-0700-00007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205</xdr:row>
          <xdr:rowOff>85725</xdr:rowOff>
        </xdr:from>
        <xdr:to>
          <xdr:col>14</xdr:col>
          <xdr:colOff>638175</xdr:colOff>
          <xdr:row>205</xdr:row>
          <xdr:rowOff>247650</xdr:rowOff>
        </xdr:to>
        <xdr:sp macro="" textlink="">
          <xdr:nvSpPr>
            <xdr:cNvPr id="7547" name="OptionButton99" hidden="1">
              <a:extLst>
                <a:ext uri="{63B3BB69-23CF-44E3-9099-C40C66FF867C}">
                  <a14:compatExt spid="_x0000_s7547"/>
                </a:ext>
                <a:ext uri="{FF2B5EF4-FFF2-40B4-BE49-F238E27FC236}">
                  <a16:creationId xmlns:a16="http://schemas.microsoft.com/office/drawing/2014/main" id="{00000000-0008-0000-0700-00007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205</xdr:row>
          <xdr:rowOff>85725</xdr:rowOff>
        </xdr:from>
        <xdr:to>
          <xdr:col>15</xdr:col>
          <xdr:colOff>638175</xdr:colOff>
          <xdr:row>205</xdr:row>
          <xdr:rowOff>247650</xdr:rowOff>
        </xdr:to>
        <xdr:sp macro="" textlink="">
          <xdr:nvSpPr>
            <xdr:cNvPr id="7548" name="OptionButton100" hidden="1">
              <a:extLst>
                <a:ext uri="{63B3BB69-23CF-44E3-9099-C40C66FF867C}">
                  <a14:compatExt spid="_x0000_s7548"/>
                </a:ext>
                <a:ext uri="{FF2B5EF4-FFF2-40B4-BE49-F238E27FC236}">
                  <a16:creationId xmlns:a16="http://schemas.microsoft.com/office/drawing/2014/main" id="{00000000-0008-0000-0700-00007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206</xdr:row>
          <xdr:rowOff>85725</xdr:rowOff>
        </xdr:from>
        <xdr:to>
          <xdr:col>13</xdr:col>
          <xdr:colOff>638175</xdr:colOff>
          <xdr:row>206</xdr:row>
          <xdr:rowOff>247650</xdr:rowOff>
        </xdr:to>
        <xdr:sp macro="" textlink="">
          <xdr:nvSpPr>
            <xdr:cNvPr id="7549" name="OptionButton101" hidden="1">
              <a:extLst>
                <a:ext uri="{63B3BB69-23CF-44E3-9099-C40C66FF867C}">
                  <a14:compatExt spid="_x0000_s7549"/>
                </a:ext>
                <a:ext uri="{FF2B5EF4-FFF2-40B4-BE49-F238E27FC236}">
                  <a16:creationId xmlns:a16="http://schemas.microsoft.com/office/drawing/2014/main" id="{00000000-0008-0000-0700-00007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206</xdr:row>
          <xdr:rowOff>85725</xdr:rowOff>
        </xdr:from>
        <xdr:to>
          <xdr:col>14</xdr:col>
          <xdr:colOff>638175</xdr:colOff>
          <xdr:row>206</xdr:row>
          <xdr:rowOff>247650</xdr:rowOff>
        </xdr:to>
        <xdr:sp macro="" textlink="">
          <xdr:nvSpPr>
            <xdr:cNvPr id="7550" name="OptionButton102" hidden="1">
              <a:extLst>
                <a:ext uri="{63B3BB69-23CF-44E3-9099-C40C66FF867C}">
                  <a14:compatExt spid="_x0000_s7550"/>
                </a:ext>
                <a:ext uri="{FF2B5EF4-FFF2-40B4-BE49-F238E27FC236}">
                  <a16:creationId xmlns:a16="http://schemas.microsoft.com/office/drawing/2014/main" id="{00000000-0008-0000-0700-00007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206</xdr:row>
          <xdr:rowOff>85725</xdr:rowOff>
        </xdr:from>
        <xdr:to>
          <xdr:col>15</xdr:col>
          <xdr:colOff>638175</xdr:colOff>
          <xdr:row>206</xdr:row>
          <xdr:rowOff>247650</xdr:rowOff>
        </xdr:to>
        <xdr:sp macro="" textlink="">
          <xdr:nvSpPr>
            <xdr:cNvPr id="7551" name="OptionButton103" hidden="1">
              <a:extLst>
                <a:ext uri="{63B3BB69-23CF-44E3-9099-C40C66FF867C}">
                  <a14:compatExt spid="_x0000_s7551"/>
                </a:ext>
                <a:ext uri="{FF2B5EF4-FFF2-40B4-BE49-F238E27FC236}">
                  <a16:creationId xmlns:a16="http://schemas.microsoft.com/office/drawing/2014/main" id="{00000000-0008-0000-0700-00007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207</xdr:row>
          <xdr:rowOff>85725</xdr:rowOff>
        </xdr:from>
        <xdr:to>
          <xdr:col>13</xdr:col>
          <xdr:colOff>638175</xdr:colOff>
          <xdr:row>207</xdr:row>
          <xdr:rowOff>247650</xdr:rowOff>
        </xdr:to>
        <xdr:sp macro="" textlink="">
          <xdr:nvSpPr>
            <xdr:cNvPr id="7552" name="OptionButton104" hidden="1">
              <a:extLst>
                <a:ext uri="{63B3BB69-23CF-44E3-9099-C40C66FF867C}">
                  <a14:compatExt spid="_x0000_s7552"/>
                </a:ext>
                <a:ext uri="{FF2B5EF4-FFF2-40B4-BE49-F238E27FC236}">
                  <a16:creationId xmlns:a16="http://schemas.microsoft.com/office/drawing/2014/main" id="{00000000-0008-0000-0700-00008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207</xdr:row>
          <xdr:rowOff>85725</xdr:rowOff>
        </xdr:from>
        <xdr:to>
          <xdr:col>14</xdr:col>
          <xdr:colOff>638175</xdr:colOff>
          <xdr:row>207</xdr:row>
          <xdr:rowOff>247650</xdr:rowOff>
        </xdr:to>
        <xdr:sp macro="" textlink="">
          <xdr:nvSpPr>
            <xdr:cNvPr id="7553" name="OptionButton105" hidden="1">
              <a:extLst>
                <a:ext uri="{63B3BB69-23CF-44E3-9099-C40C66FF867C}">
                  <a14:compatExt spid="_x0000_s7553"/>
                </a:ext>
                <a:ext uri="{FF2B5EF4-FFF2-40B4-BE49-F238E27FC236}">
                  <a16:creationId xmlns:a16="http://schemas.microsoft.com/office/drawing/2014/main" id="{00000000-0008-0000-0700-00008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207</xdr:row>
          <xdr:rowOff>85725</xdr:rowOff>
        </xdr:from>
        <xdr:to>
          <xdr:col>15</xdr:col>
          <xdr:colOff>638175</xdr:colOff>
          <xdr:row>207</xdr:row>
          <xdr:rowOff>247650</xdr:rowOff>
        </xdr:to>
        <xdr:sp macro="" textlink="">
          <xdr:nvSpPr>
            <xdr:cNvPr id="7554" name="OptionButton106" hidden="1">
              <a:extLst>
                <a:ext uri="{63B3BB69-23CF-44E3-9099-C40C66FF867C}">
                  <a14:compatExt spid="_x0000_s7554"/>
                </a:ext>
                <a:ext uri="{FF2B5EF4-FFF2-40B4-BE49-F238E27FC236}">
                  <a16:creationId xmlns:a16="http://schemas.microsoft.com/office/drawing/2014/main" id="{00000000-0008-0000-0700-00008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208</xdr:row>
          <xdr:rowOff>66675</xdr:rowOff>
        </xdr:from>
        <xdr:to>
          <xdr:col>13</xdr:col>
          <xdr:colOff>628650</xdr:colOff>
          <xdr:row>208</xdr:row>
          <xdr:rowOff>228600</xdr:rowOff>
        </xdr:to>
        <xdr:sp macro="" textlink="">
          <xdr:nvSpPr>
            <xdr:cNvPr id="7555" name="OptionButton107" hidden="1">
              <a:extLst>
                <a:ext uri="{63B3BB69-23CF-44E3-9099-C40C66FF867C}">
                  <a14:compatExt spid="_x0000_s7555"/>
                </a:ext>
                <a:ext uri="{FF2B5EF4-FFF2-40B4-BE49-F238E27FC236}">
                  <a16:creationId xmlns:a16="http://schemas.microsoft.com/office/drawing/2014/main" id="{00000000-0008-0000-0700-00008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208</xdr:row>
          <xdr:rowOff>66675</xdr:rowOff>
        </xdr:from>
        <xdr:to>
          <xdr:col>14</xdr:col>
          <xdr:colOff>628650</xdr:colOff>
          <xdr:row>208</xdr:row>
          <xdr:rowOff>228600</xdr:rowOff>
        </xdr:to>
        <xdr:sp macro="" textlink="">
          <xdr:nvSpPr>
            <xdr:cNvPr id="7556" name="OptionButton108" hidden="1">
              <a:extLst>
                <a:ext uri="{63B3BB69-23CF-44E3-9099-C40C66FF867C}">
                  <a14:compatExt spid="_x0000_s7556"/>
                </a:ext>
                <a:ext uri="{FF2B5EF4-FFF2-40B4-BE49-F238E27FC236}">
                  <a16:creationId xmlns:a16="http://schemas.microsoft.com/office/drawing/2014/main" id="{00000000-0008-0000-0700-00008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208</xdr:row>
          <xdr:rowOff>66675</xdr:rowOff>
        </xdr:from>
        <xdr:to>
          <xdr:col>15</xdr:col>
          <xdr:colOff>628650</xdr:colOff>
          <xdr:row>208</xdr:row>
          <xdr:rowOff>228600</xdr:rowOff>
        </xdr:to>
        <xdr:sp macro="" textlink="">
          <xdr:nvSpPr>
            <xdr:cNvPr id="7557" name="OptionButton109" hidden="1">
              <a:extLst>
                <a:ext uri="{63B3BB69-23CF-44E3-9099-C40C66FF867C}">
                  <a14:compatExt spid="_x0000_s7557"/>
                </a:ext>
                <a:ext uri="{FF2B5EF4-FFF2-40B4-BE49-F238E27FC236}">
                  <a16:creationId xmlns:a16="http://schemas.microsoft.com/office/drawing/2014/main" id="{00000000-0008-0000-0700-00008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209</xdr:row>
          <xdr:rowOff>66675</xdr:rowOff>
        </xdr:from>
        <xdr:to>
          <xdr:col>13</xdr:col>
          <xdr:colOff>628650</xdr:colOff>
          <xdr:row>209</xdr:row>
          <xdr:rowOff>228600</xdr:rowOff>
        </xdr:to>
        <xdr:sp macro="" textlink="">
          <xdr:nvSpPr>
            <xdr:cNvPr id="7558" name="OptionButton110" hidden="1">
              <a:extLst>
                <a:ext uri="{63B3BB69-23CF-44E3-9099-C40C66FF867C}">
                  <a14:compatExt spid="_x0000_s7558"/>
                </a:ext>
                <a:ext uri="{FF2B5EF4-FFF2-40B4-BE49-F238E27FC236}">
                  <a16:creationId xmlns:a16="http://schemas.microsoft.com/office/drawing/2014/main" id="{00000000-0008-0000-0700-00008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209</xdr:row>
          <xdr:rowOff>66675</xdr:rowOff>
        </xdr:from>
        <xdr:to>
          <xdr:col>14</xdr:col>
          <xdr:colOff>628650</xdr:colOff>
          <xdr:row>209</xdr:row>
          <xdr:rowOff>228600</xdr:rowOff>
        </xdr:to>
        <xdr:sp macro="" textlink="">
          <xdr:nvSpPr>
            <xdr:cNvPr id="7559" name="OptionButton111" hidden="1">
              <a:extLst>
                <a:ext uri="{63B3BB69-23CF-44E3-9099-C40C66FF867C}">
                  <a14:compatExt spid="_x0000_s7559"/>
                </a:ext>
                <a:ext uri="{FF2B5EF4-FFF2-40B4-BE49-F238E27FC236}">
                  <a16:creationId xmlns:a16="http://schemas.microsoft.com/office/drawing/2014/main" id="{00000000-0008-0000-0700-00008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209</xdr:row>
          <xdr:rowOff>66675</xdr:rowOff>
        </xdr:from>
        <xdr:to>
          <xdr:col>15</xdr:col>
          <xdr:colOff>628650</xdr:colOff>
          <xdr:row>209</xdr:row>
          <xdr:rowOff>228600</xdr:rowOff>
        </xdr:to>
        <xdr:sp macro="" textlink="">
          <xdr:nvSpPr>
            <xdr:cNvPr id="7560" name="OptionButton112" hidden="1">
              <a:extLst>
                <a:ext uri="{63B3BB69-23CF-44E3-9099-C40C66FF867C}">
                  <a14:compatExt spid="_x0000_s7560"/>
                </a:ext>
                <a:ext uri="{FF2B5EF4-FFF2-40B4-BE49-F238E27FC236}">
                  <a16:creationId xmlns:a16="http://schemas.microsoft.com/office/drawing/2014/main" id="{00000000-0008-0000-0700-00008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211</xdr:row>
          <xdr:rowOff>66675</xdr:rowOff>
        </xdr:from>
        <xdr:to>
          <xdr:col>13</xdr:col>
          <xdr:colOff>628650</xdr:colOff>
          <xdr:row>211</xdr:row>
          <xdr:rowOff>228600</xdr:rowOff>
        </xdr:to>
        <xdr:sp macro="" textlink="">
          <xdr:nvSpPr>
            <xdr:cNvPr id="7561" name="OptionButton113" hidden="1">
              <a:extLst>
                <a:ext uri="{63B3BB69-23CF-44E3-9099-C40C66FF867C}">
                  <a14:compatExt spid="_x0000_s7561"/>
                </a:ext>
                <a:ext uri="{FF2B5EF4-FFF2-40B4-BE49-F238E27FC236}">
                  <a16:creationId xmlns:a16="http://schemas.microsoft.com/office/drawing/2014/main" id="{00000000-0008-0000-0700-00008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211</xdr:row>
          <xdr:rowOff>66675</xdr:rowOff>
        </xdr:from>
        <xdr:to>
          <xdr:col>14</xdr:col>
          <xdr:colOff>628650</xdr:colOff>
          <xdr:row>211</xdr:row>
          <xdr:rowOff>228600</xdr:rowOff>
        </xdr:to>
        <xdr:sp macro="" textlink="">
          <xdr:nvSpPr>
            <xdr:cNvPr id="7562" name="OptionButton114" hidden="1">
              <a:extLst>
                <a:ext uri="{63B3BB69-23CF-44E3-9099-C40C66FF867C}">
                  <a14:compatExt spid="_x0000_s7562"/>
                </a:ext>
                <a:ext uri="{FF2B5EF4-FFF2-40B4-BE49-F238E27FC236}">
                  <a16:creationId xmlns:a16="http://schemas.microsoft.com/office/drawing/2014/main" id="{00000000-0008-0000-0700-00008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211</xdr:row>
          <xdr:rowOff>66675</xdr:rowOff>
        </xdr:from>
        <xdr:to>
          <xdr:col>15</xdr:col>
          <xdr:colOff>628650</xdr:colOff>
          <xdr:row>211</xdr:row>
          <xdr:rowOff>228600</xdr:rowOff>
        </xdr:to>
        <xdr:sp macro="" textlink="">
          <xdr:nvSpPr>
            <xdr:cNvPr id="7563" name="OptionButton115" hidden="1">
              <a:extLst>
                <a:ext uri="{63B3BB69-23CF-44E3-9099-C40C66FF867C}">
                  <a14:compatExt spid="_x0000_s7563"/>
                </a:ext>
                <a:ext uri="{FF2B5EF4-FFF2-40B4-BE49-F238E27FC236}">
                  <a16:creationId xmlns:a16="http://schemas.microsoft.com/office/drawing/2014/main" id="{00000000-0008-0000-0700-00008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212</xdr:row>
          <xdr:rowOff>66675</xdr:rowOff>
        </xdr:from>
        <xdr:to>
          <xdr:col>13</xdr:col>
          <xdr:colOff>628650</xdr:colOff>
          <xdr:row>212</xdr:row>
          <xdr:rowOff>228600</xdr:rowOff>
        </xdr:to>
        <xdr:sp macro="" textlink="">
          <xdr:nvSpPr>
            <xdr:cNvPr id="7564" name="OptionButton116" hidden="1">
              <a:extLst>
                <a:ext uri="{63B3BB69-23CF-44E3-9099-C40C66FF867C}">
                  <a14:compatExt spid="_x0000_s7564"/>
                </a:ext>
                <a:ext uri="{FF2B5EF4-FFF2-40B4-BE49-F238E27FC236}">
                  <a16:creationId xmlns:a16="http://schemas.microsoft.com/office/drawing/2014/main" id="{00000000-0008-0000-0700-00008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212</xdr:row>
          <xdr:rowOff>66675</xdr:rowOff>
        </xdr:from>
        <xdr:to>
          <xdr:col>14</xdr:col>
          <xdr:colOff>628650</xdr:colOff>
          <xdr:row>212</xdr:row>
          <xdr:rowOff>228600</xdr:rowOff>
        </xdr:to>
        <xdr:sp macro="" textlink="">
          <xdr:nvSpPr>
            <xdr:cNvPr id="7565" name="OptionButton117" hidden="1">
              <a:extLst>
                <a:ext uri="{63B3BB69-23CF-44E3-9099-C40C66FF867C}">
                  <a14:compatExt spid="_x0000_s7565"/>
                </a:ext>
                <a:ext uri="{FF2B5EF4-FFF2-40B4-BE49-F238E27FC236}">
                  <a16:creationId xmlns:a16="http://schemas.microsoft.com/office/drawing/2014/main" id="{00000000-0008-0000-0700-00008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212</xdr:row>
          <xdr:rowOff>66675</xdr:rowOff>
        </xdr:from>
        <xdr:to>
          <xdr:col>15</xdr:col>
          <xdr:colOff>628650</xdr:colOff>
          <xdr:row>212</xdr:row>
          <xdr:rowOff>228600</xdr:rowOff>
        </xdr:to>
        <xdr:sp macro="" textlink="">
          <xdr:nvSpPr>
            <xdr:cNvPr id="7567" name="OptionButton118" hidden="1">
              <a:extLst>
                <a:ext uri="{63B3BB69-23CF-44E3-9099-C40C66FF867C}">
                  <a14:compatExt spid="_x0000_s7567"/>
                </a:ext>
                <a:ext uri="{FF2B5EF4-FFF2-40B4-BE49-F238E27FC236}">
                  <a16:creationId xmlns:a16="http://schemas.microsoft.com/office/drawing/2014/main" id="{00000000-0008-0000-0700-00008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213</xdr:row>
          <xdr:rowOff>66675</xdr:rowOff>
        </xdr:from>
        <xdr:to>
          <xdr:col>13</xdr:col>
          <xdr:colOff>628650</xdr:colOff>
          <xdr:row>213</xdr:row>
          <xdr:rowOff>228600</xdr:rowOff>
        </xdr:to>
        <xdr:sp macro="" textlink="">
          <xdr:nvSpPr>
            <xdr:cNvPr id="7568" name="OptionButton119" hidden="1">
              <a:extLst>
                <a:ext uri="{63B3BB69-23CF-44E3-9099-C40C66FF867C}">
                  <a14:compatExt spid="_x0000_s7568"/>
                </a:ext>
                <a:ext uri="{FF2B5EF4-FFF2-40B4-BE49-F238E27FC236}">
                  <a16:creationId xmlns:a16="http://schemas.microsoft.com/office/drawing/2014/main" id="{00000000-0008-0000-0700-00009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213</xdr:row>
          <xdr:rowOff>66675</xdr:rowOff>
        </xdr:from>
        <xdr:to>
          <xdr:col>14</xdr:col>
          <xdr:colOff>628650</xdr:colOff>
          <xdr:row>213</xdr:row>
          <xdr:rowOff>228600</xdr:rowOff>
        </xdr:to>
        <xdr:sp macro="" textlink="">
          <xdr:nvSpPr>
            <xdr:cNvPr id="7569" name="OptionButton120" hidden="1">
              <a:extLst>
                <a:ext uri="{63B3BB69-23CF-44E3-9099-C40C66FF867C}">
                  <a14:compatExt spid="_x0000_s7569"/>
                </a:ext>
                <a:ext uri="{FF2B5EF4-FFF2-40B4-BE49-F238E27FC236}">
                  <a16:creationId xmlns:a16="http://schemas.microsoft.com/office/drawing/2014/main" id="{00000000-0008-0000-0700-00009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213</xdr:row>
          <xdr:rowOff>66675</xdr:rowOff>
        </xdr:from>
        <xdr:to>
          <xdr:col>15</xdr:col>
          <xdr:colOff>628650</xdr:colOff>
          <xdr:row>213</xdr:row>
          <xdr:rowOff>228600</xdr:rowOff>
        </xdr:to>
        <xdr:sp macro="" textlink="">
          <xdr:nvSpPr>
            <xdr:cNvPr id="7570" name="OptionButton121" hidden="1">
              <a:extLst>
                <a:ext uri="{63B3BB69-23CF-44E3-9099-C40C66FF867C}">
                  <a14:compatExt spid="_x0000_s7570"/>
                </a:ext>
                <a:ext uri="{FF2B5EF4-FFF2-40B4-BE49-F238E27FC236}">
                  <a16:creationId xmlns:a16="http://schemas.microsoft.com/office/drawing/2014/main" id="{00000000-0008-0000-0700-00009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214</xdr:row>
          <xdr:rowOff>66675</xdr:rowOff>
        </xdr:from>
        <xdr:to>
          <xdr:col>13</xdr:col>
          <xdr:colOff>628650</xdr:colOff>
          <xdr:row>214</xdr:row>
          <xdr:rowOff>228600</xdr:rowOff>
        </xdr:to>
        <xdr:sp macro="" textlink="">
          <xdr:nvSpPr>
            <xdr:cNvPr id="7571" name="OptionButton122" hidden="1">
              <a:extLst>
                <a:ext uri="{63B3BB69-23CF-44E3-9099-C40C66FF867C}">
                  <a14:compatExt spid="_x0000_s7571"/>
                </a:ext>
                <a:ext uri="{FF2B5EF4-FFF2-40B4-BE49-F238E27FC236}">
                  <a16:creationId xmlns:a16="http://schemas.microsoft.com/office/drawing/2014/main" id="{00000000-0008-0000-0700-00009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214</xdr:row>
          <xdr:rowOff>66675</xdr:rowOff>
        </xdr:from>
        <xdr:to>
          <xdr:col>14</xdr:col>
          <xdr:colOff>628650</xdr:colOff>
          <xdr:row>214</xdr:row>
          <xdr:rowOff>228600</xdr:rowOff>
        </xdr:to>
        <xdr:sp macro="" textlink="">
          <xdr:nvSpPr>
            <xdr:cNvPr id="7572" name="OptionButton123" hidden="1">
              <a:extLst>
                <a:ext uri="{63B3BB69-23CF-44E3-9099-C40C66FF867C}">
                  <a14:compatExt spid="_x0000_s7572"/>
                </a:ext>
                <a:ext uri="{FF2B5EF4-FFF2-40B4-BE49-F238E27FC236}">
                  <a16:creationId xmlns:a16="http://schemas.microsoft.com/office/drawing/2014/main" id="{00000000-0008-0000-0700-00009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214</xdr:row>
          <xdr:rowOff>66675</xdr:rowOff>
        </xdr:from>
        <xdr:to>
          <xdr:col>15</xdr:col>
          <xdr:colOff>628650</xdr:colOff>
          <xdr:row>214</xdr:row>
          <xdr:rowOff>228600</xdr:rowOff>
        </xdr:to>
        <xdr:sp macro="" textlink="">
          <xdr:nvSpPr>
            <xdr:cNvPr id="7573" name="OptionButton124" hidden="1">
              <a:extLst>
                <a:ext uri="{63B3BB69-23CF-44E3-9099-C40C66FF867C}">
                  <a14:compatExt spid="_x0000_s7573"/>
                </a:ext>
                <a:ext uri="{FF2B5EF4-FFF2-40B4-BE49-F238E27FC236}">
                  <a16:creationId xmlns:a16="http://schemas.microsoft.com/office/drawing/2014/main" id="{00000000-0008-0000-0700-00009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215</xdr:row>
          <xdr:rowOff>66675</xdr:rowOff>
        </xdr:from>
        <xdr:to>
          <xdr:col>13</xdr:col>
          <xdr:colOff>609600</xdr:colOff>
          <xdr:row>215</xdr:row>
          <xdr:rowOff>228600</xdr:rowOff>
        </xdr:to>
        <xdr:sp macro="" textlink="">
          <xdr:nvSpPr>
            <xdr:cNvPr id="7574" name="OptionButton125" hidden="1">
              <a:extLst>
                <a:ext uri="{63B3BB69-23CF-44E3-9099-C40C66FF867C}">
                  <a14:compatExt spid="_x0000_s7574"/>
                </a:ext>
                <a:ext uri="{FF2B5EF4-FFF2-40B4-BE49-F238E27FC236}">
                  <a16:creationId xmlns:a16="http://schemas.microsoft.com/office/drawing/2014/main" id="{00000000-0008-0000-0700-00009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216</xdr:row>
          <xdr:rowOff>66675</xdr:rowOff>
        </xdr:from>
        <xdr:to>
          <xdr:col>13</xdr:col>
          <xdr:colOff>619125</xdr:colOff>
          <xdr:row>216</xdr:row>
          <xdr:rowOff>228600</xdr:rowOff>
        </xdr:to>
        <xdr:sp macro="" textlink="">
          <xdr:nvSpPr>
            <xdr:cNvPr id="7581" name="OptionButton131" hidden="1">
              <a:extLst>
                <a:ext uri="{63B3BB69-23CF-44E3-9099-C40C66FF867C}">
                  <a14:compatExt spid="_x0000_s7581"/>
                </a:ext>
                <a:ext uri="{FF2B5EF4-FFF2-40B4-BE49-F238E27FC236}">
                  <a16:creationId xmlns:a16="http://schemas.microsoft.com/office/drawing/2014/main" id="{00000000-0008-0000-0700-00009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216</xdr:row>
          <xdr:rowOff>66675</xdr:rowOff>
        </xdr:from>
        <xdr:to>
          <xdr:col>14</xdr:col>
          <xdr:colOff>619125</xdr:colOff>
          <xdr:row>216</xdr:row>
          <xdr:rowOff>228600</xdr:rowOff>
        </xdr:to>
        <xdr:sp macro="" textlink="">
          <xdr:nvSpPr>
            <xdr:cNvPr id="7583" name="OptionButton132" hidden="1">
              <a:extLst>
                <a:ext uri="{63B3BB69-23CF-44E3-9099-C40C66FF867C}">
                  <a14:compatExt spid="_x0000_s7583"/>
                </a:ext>
                <a:ext uri="{FF2B5EF4-FFF2-40B4-BE49-F238E27FC236}">
                  <a16:creationId xmlns:a16="http://schemas.microsoft.com/office/drawing/2014/main" id="{00000000-0008-0000-0700-00009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428625</xdr:colOff>
          <xdr:row>216</xdr:row>
          <xdr:rowOff>66675</xdr:rowOff>
        </xdr:from>
        <xdr:to>
          <xdr:col>15</xdr:col>
          <xdr:colOff>619125</xdr:colOff>
          <xdr:row>216</xdr:row>
          <xdr:rowOff>228600</xdr:rowOff>
        </xdr:to>
        <xdr:sp macro="" textlink="">
          <xdr:nvSpPr>
            <xdr:cNvPr id="7584" name="OptionButton133" hidden="1">
              <a:extLst>
                <a:ext uri="{63B3BB69-23CF-44E3-9099-C40C66FF867C}">
                  <a14:compatExt spid="_x0000_s7584"/>
                </a:ext>
                <a:ext uri="{FF2B5EF4-FFF2-40B4-BE49-F238E27FC236}">
                  <a16:creationId xmlns:a16="http://schemas.microsoft.com/office/drawing/2014/main" id="{00000000-0008-0000-0700-0000A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217</xdr:row>
          <xdr:rowOff>66675</xdr:rowOff>
        </xdr:from>
        <xdr:to>
          <xdr:col>13</xdr:col>
          <xdr:colOff>619125</xdr:colOff>
          <xdr:row>217</xdr:row>
          <xdr:rowOff>228600</xdr:rowOff>
        </xdr:to>
        <xdr:sp macro="" textlink="">
          <xdr:nvSpPr>
            <xdr:cNvPr id="7585" name="OptionButton134" hidden="1">
              <a:extLst>
                <a:ext uri="{63B3BB69-23CF-44E3-9099-C40C66FF867C}">
                  <a14:compatExt spid="_x0000_s7585"/>
                </a:ext>
                <a:ext uri="{FF2B5EF4-FFF2-40B4-BE49-F238E27FC236}">
                  <a16:creationId xmlns:a16="http://schemas.microsoft.com/office/drawing/2014/main" id="{00000000-0008-0000-0700-0000A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217</xdr:row>
          <xdr:rowOff>66675</xdr:rowOff>
        </xdr:from>
        <xdr:to>
          <xdr:col>14</xdr:col>
          <xdr:colOff>619125</xdr:colOff>
          <xdr:row>217</xdr:row>
          <xdr:rowOff>228600</xdr:rowOff>
        </xdr:to>
        <xdr:sp macro="" textlink="">
          <xdr:nvSpPr>
            <xdr:cNvPr id="7586" name="OptionButton135" hidden="1">
              <a:extLst>
                <a:ext uri="{63B3BB69-23CF-44E3-9099-C40C66FF867C}">
                  <a14:compatExt spid="_x0000_s7586"/>
                </a:ext>
                <a:ext uri="{FF2B5EF4-FFF2-40B4-BE49-F238E27FC236}">
                  <a16:creationId xmlns:a16="http://schemas.microsoft.com/office/drawing/2014/main" id="{00000000-0008-0000-0700-0000A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428625</xdr:colOff>
          <xdr:row>217</xdr:row>
          <xdr:rowOff>66675</xdr:rowOff>
        </xdr:from>
        <xdr:to>
          <xdr:col>15</xdr:col>
          <xdr:colOff>619125</xdr:colOff>
          <xdr:row>217</xdr:row>
          <xdr:rowOff>228600</xdr:rowOff>
        </xdr:to>
        <xdr:sp macro="" textlink="">
          <xdr:nvSpPr>
            <xdr:cNvPr id="7587" name="OptionButton136" hidden="1">
              <a:extLst>
                <a:ext uri="{63B3BB69-23CF-44E3-9099-C40C66FF867C}">
                  <a14:compatExt spid="_x0000_s7587"/>
                </a:ext>
                <a:ext uri="{FF2B5EF4-FFF2-40B4-BE49-F238E27FC236}">
                  <a16:creationId xmlns:a16="http://schemas.microsoft.com/office/drawing/2014/main" id="{00000000-0008-0000-0700-0000A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196</xdr:row>
          <xdr:rowOff>47625</xdr:rowOff>
        </xdr:from>
        <xdr:to>
          <xdr:col>15</xdr:col>
          <xdr:colOff>647700</xdr:colOff>
          <xdr:row>196</xdr:row>
          <xdr:rowOff>209550</xdr:rowOff>
        </xdr:to>
        <xdr:sp macro="" textlink="">
          <xdr:nvSpPr>
            <xdr:cNvPr id="7588" name="OptionButton73" hidden="1">
              <a:extLst>
                <a:ext uri="{63B3BB69-23CF-44E3-9099-C40C66FF867C}">
                  <a14:compatExt spid="_x0000_s7588"/>
                </a:ext>
                <a:ext uri="{FF2B5EF4-FFF2-40B4-BE49-F238E27FC236}">
                  <a16:creationId xmlns:a16="http://schemas.microsoft.com/office/drawing/2014/main" id="{00000000-0008-0000-0700-0000A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196</xdr:row>
          <xdr:rowOff>47625</xdr:rowOff>
        </xdr:from>
        <xdr:to>
          <xdr:col>14</xdr:col>
          <xdr:colOff>647700</xdr:colOff>
          <xdr:row>196</xdr:row>
          <xdr:rowOff>209550</xdr:rowOff>
        </xdr:to>
        <xdr:sp macro="" textlink="">
          <xdr:nvSpPr>
            <xdr:cNvPr id="7589" name="OptionButton72" hidden="1">
              <a:extLst>
                <a:ext uri="{63B3BB69-23CF-44E3-9099-C40C66FF867C}">
                  <a14:compatExt spid="_x0000_s7589"/>
                </a:ext>
                <a:ext uri="{FF2B5EF4-FFF2-40B4-BE49-F238E27FC236}">
                  <a16:creationId xmlns:a16="http://schemas.microsoft.com/office/drawing/2014/main" id="{00000000-0008-0000-0700-0000A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218</xdr:row>
          <xdr:rowOff>66675</xdr:rowOff>
        </xdr:from>
        <xdr:to>
          <xdr:col>13</xdr:col>
          <xdr:colOff>619125</xdr:colOff>
          <xdr:row>218</xdr:row>
          <xdr:rowOff>228600</xdr:rowOff>
        </xdr:to>
        <xdr:sp macro="" textlink="">
          <xdr:nvSpPr>
            <xdr:cNvPr id="7590" name="OptionButton65" hidden="1">
              <a:extLst>
                <a:ext uri="{63B3BB69-23CF-44E3-9099-C40C66FF867C}">
                  <a14:compatExt spid="_x0000_s7590"/>
                </a:ext>
                <a:ext uri="{FF2B5EF4-FFF2-40B4-BE49-F238E27FC236}">
                  <a16:creationId xmlns:a16="http://schemas.microsoft.com/office/drawing/2014/main" id="{00000000-0008-0000-0700-0000A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218</xdr:row>
          <xdr:rowOff>66675</xdr:rowOff>
        </xdr:from>
        <xdr:to>
          <xdr:col>14</xdr:col>
          <xdr:colOff>619125</xdr:colOff>
          <xdr:row>218</xdr:row>
          <xdr:rowOff>228600</xdr:rowOff>
        </xdr:to>
        <xdr:sp macro="" textlink="">
          <xdr:nvSpPr>
            <xdr:cNvPr id="7592" name="OptionButton66" hidden="1">
              <a:extLst>
                <a:ext uri="{63B3BB69-23CF-44E3-9099-C40C66FF867C}">
                  <a14:compatExt spid="_x0000_s7592"/>
                </a:ext>
                <a:ext uri="{FF2B5EF4-FFF2-40B4-BE49-F238E27FC236}">
                  <a16:creationId xmlns:a16="http://schemas.microsoft.com/office/drawing/2014/main" id="{00000000-0008-0000-0700-0000A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428625</xdr:colOff>
          <xdr:row>218</xdr:row>
          <xdr:rowOff>66675</xdr:rowOff>
        </xdr:from>
        <xdr:to>
          <xdr:col>15</xdr:col>
          <xdr:colOff>619125</xdr:colOff>
          <xdr:row>218</xdr:row>
          <xdr:rowOff>228600</xdr:rowOff>
        </xdr:to>
        <xdr:sp macro="" textlink="">
          <xdr:nvSpPr>
            <xdr:cNvPr id="7593" name="OptionButton67" hidden="1">
              <a:extLst>
                <a:ext uri="{63B3BB69-23CF-44E3-9099-C40C66FF867C}">
                  <a14:compatExt spid="_x0000_s7593"/>
                </a:ext>
                <a:ext uri="{FF2B5EF4-FFF2-40B4-BE49-F238E27FC236}">
                  <a16:creationId xmlns:a16="http://schemas.microsoft.com/office/drawing/2014/main" id="{00000000-0008-0000-0700-0000A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219</xdr:row>
          <xdr:rowOff>66675</xdr:rowOff>
        </xdr:from>
        <xdr:to>
          <xdr:col>13</xdr:col>
          <xdr:colOff>619125</xdr:colOff>
          <xdr:row>219</xdr:row>
          <xdr:rowOff>228600</xdr:rowOff>
        </xdr:to>
        <xdr:sp macro="" textlink="">
          <xdr:nvSpPr>
            <xdr:cNvPr id="7594" name="OptionButton74" hidden="1">
              <a:extLst>
                <a:ext uri="{63B3BB69-23CF-44E3-9099-C40C66FF867C}">
                  <a14:compatExt spid="_x0000_s7594"/>
                </a:ext>
                <a:ext uri="{FF2B5EF4-FFF2-40B4-BE49-F238E27FC236}">
                  <a16:creationId xmlns:a16="http://schemas.microsoft.com/office/drawing/2014/main" id="{00000000-0008-0000-0700-0000A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219</xdr:row>
          <xdr:rowOff>66675</xdr:rowOff>
        </xdr:from>
        <xdr:to>
          <xdr:col>14</xdr:col>
          <xdr:colOff>619125</xdr:colOff>
          <xdr:row>219</xdr:row>
          <xdr:rowOff>228600</xdr:rowOff>
        </xdr:to>
        <xdr:sp macro="" textlink="">
          <xdr:nvSpPr>
            <xdr:cNvPr id="7595" name="OptionButton75" hidden="1">
              <a:extLst>
                <a:ext uri="{63B3BB69-23CF-44E3-9099-C40C66FF867C}">
                  <a14:compatExt spid="_x0000_s7595"/>
                </a:ext>
                <a:ext uri="{FF2B5EF4-FFF2-40B4-BE49-F238E27FC236}">
                  <a16:creationId xmlns:a16="http://schemas.microsoft.com/office/drawing/2014/main" id="{00000000-0008-0000-0700-0000A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428625</xdr:colOff>
          <xdr:row>219</xdr:row>
          <xdr:rowOff>66675</xdr:rowOff>
        </xdr:from>
        <xdr:to>
          <xdr:col>15</xdr:col>
          <xdr:colOff>619125</xdr:colOff>
          <xdr:row>219</xdr:row>
          <xdr:rowOff>228600</xdr:rowOff>
        </xdr:to>
        <xdr:sp macro="" textlink="">
          <xdr:nvSpPr>
            <xdr:cNvPr id="7596" name="OptionButton76" hidden="1">
              <a:extLst>
                <a:ext uri="{63B3BB69-23CF-44E3-9099-C40C66FF867C}">
                  <a14:compatExt spid="_x0000_s7596"/>
                </a:ext>
                <a:ext uri="{FF2B5EF4-FFF2-40B4-BE49-F238E27FC236}">
                  <a16:creationId xmlns:a16="http://schemas.microsoft.com/office/drawing/2014/main" id="{00000000-0008-0000-0700-0000A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220</xdr:row>
          <xdr:rowOff>57150</xdr:rowOff>
        </xdr:from>
        <xdr:to>
          <xdr:col>13</xdr:col>
          <xdr:colOff>628650</xdr:colOff>
          <xdr:row>220</xdr:row>
          <xdr:rowOff>219075</xdr:rowOff>
        </xdr:to>
        <xdr:sp macro="" textlink="">
          <xdr:nvSpPr>
            <xdr:cNvPr id="7597" name="OptionButton128" hidden="1">
              <a:extLst>
                <a:ext uri="{63B3BB69-23CF-44E3-9099-C40C66FF867C}">
                  <a14:compatExt spid="_x0000_s7597"/>
                </a:ext>
                <a:ext uri="{FF2B5EF4-FFF2-40B4-BE49-F238E27FC236}">
                  <a16:creationId xmlns:a16="http://schemas.microsoft.com/office/drawing/2014/main" id="{00000000-0008-0000-0700-0000A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220</xdr:row>
          <xdr:rowOff>57150</xdr:rowOff>
        </xdr:from>
        <xdr:to>
          <xdr:col>14</xdr:col>
          <xdr:colOff>628650</xdr:colOff>
          <xdr:row>220</xdr:row>
          <xdr:rowOff>219075</xdr:rowOff>
        </xdr:to>
        <xdr:sp macro="" textlink="">
          <xdr:nvSpPr>
            <xdr:cNvPr id="7598" name="OptionButton129" hidden="1">
              <a:extLst>
                <a:ext uri="{63B3BB69-23CF-44E3-9099-C40C66FF867C}">
                  <a14:compatExt spid="_x0000_s7598"/>
                </a:ext>
                <a:ext uri="{FF2B5EF4-FFF2-40B4-BE49-F238E27FC236}">
                  <a16:creationId xmlns:a16="http://schemas.microsoft.com/office/drawing/2014/main" id="{00000000-0008-0000-0700-0000A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220</xdr:row>
          <xdr:rowOff>57150</xdr:rowOff>
        </xdr:from>
        <xdr:to>
          <xdr:col>15</xdr:col>
          <xdr:colOff>628650</xdr:colOff>
          <xdr:row>220</xdr:row>
          <xdr:rowOff>219075</xdr:rowOff>
        </xdr:to>
        <xdr:sp macro="" textlink="">
          <xdr:nvSpPr>
            <xdr:cNvPr id="7599" name="OptionButton130" hidden="1">
              <a:extLst>
                <a:ext uri="{63B3BB69-23CF-44E3-9099-C40C66FF867C}">
                  <a14:compatExt spid="_x0000_s7599"/>
                </a:ext>
                <a:ext uri="{FF2B5EF4-FFF2-40B4-BE49-F238E27FC236}">
                  <a16:creationId xmlns:a16="http://schemas.microsoft.com/office/drawing/2014/main" id="{00000000-0008-0000-0700-0000A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215</xdr:row>
          <xdr:rowOff>66675</xdr:rowOff>
        </xdr:from>
        <xdr:to>
          <xdr:col>14</xdr:col>
          <xdr:colOff>609600</xdr:colOff>
          <xdr:row>215</xdr:row>
          <xdr:rowOff>228600</xdr:rowOff>
        </xdr:to>
        <xdr:sp macro="" textlink="">
          <xdr:nvSpPr>
            <xdr:cNvPr id="7604" name="OptionButton126" hidden="1">
              <a:extLst>
                <a:ext uri="{63B3BB69-23CF-44E3-9099-C40C66FF867C}">
                  <a14:compatExt spid="_x0000_s7604"/>
                </a:ext>
                <a:ext uri="{FF2B5EF4-FFF2-40B4-BE49-F238E27FC236}">
                  <a16:creationId xmlns:a16="http://schemas.microsoft.com/office/drawing/2014/main" id="{00000000-0008-0000-0700-0000B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419100</xdr:colOff>
          <xdr:row>215</xdr:row>
          <xdr:rowOff>66675</xdr:rowOff>
        </xdr:from>
        <xdr:to>
          <xdr:col>15</xdr:col>
          <xdr:colOff>609600</xdr:colOff>
          <xdr:row>215</xdr:row>
          <xdr:rowOff>228600</xdr:rowOff>
        </xdr:to>
        <xdr:sp macro="" textlink="">
          <xdr:nvSpPr>
            <xdr:cNvPr id="7605" name="OptionButton127" hidden="1">
              <a:extLst>
                <a:ext uri="{63B3BB69-23CF-44E3-9099-C40C66FF867C}">
                  <a14:compatExt spid="_x0000_s7605"/>
                </a:ext>
                <a:ext uri="{FF2B5EF4-FFF2-40B4-BE49-F238E27FC236}">
                  <a16:creationId xmlns:a16="http://schemas.microsoft.com/office/drawing/2014/main" id="{00000000-0008-0000-0700-0000B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228</xdr:row>
          <xdr:rowOff>104775</xdr:rowOff>
        </xdr:from>
        <xdr:to>
          <xdr:col>12</xdr:col>
          <xdr:colOff>704850</xdr:colOff>
          <xdr:row>228</xdr:row>
          <xdr:rowOff>266700</xdr:rowOff>
        </xdr:to>
        <xdr:sp macro="" textlink="">
          <xdr:nvSpPr>
            <xdr:cNvPr id="7606" name="OptionButton137" hidden="1">
              <a:extLst>
                <a:ext uri="{63B3BB69-23CF-44E3-9099-C40C66FF867C}">
                  <a14:compatExt spid="_x0000_s7606"/>
                </a:ext>
                <a:ext uri="{FF2B5EF4-FFF2-40B4-BE49-F238E27FC236}">
                  <a16:creationId xmlns:a16="http://schemas.microsoft.com/office/drawing/2014/main" id="{00000000-0008-0000-0700-0000B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228</xdr:row>
          <xdr:rowOff>104775</xdr:rowOff>
        </xdr:from>
        <xdr:to>
          <xdr:col>13</xdr:col>
          <xdr:colOff>704850</xdr:colOff>
          <xdr:row>228</xdr:row>
          <xdr:rowOff>266700</xdr:rowOff>
        </xdr:to>
        <xdr:sp macro="" textlink="">
          <xdr:nvSpPr>
            <xdr:cNvPr id="7607" name="OptionButton138" hidden="1">
              <a:extLst>
                <a:ext uri="{63B3BB69-23CF-44E3-9099-C40C66FF867C}">
                  <a14:compatExt spid="_x0000_s7607"/>
                </a:ext>
                <a:ext uri="{FF2B5EF4-FFF2-40B4-BE49-F238E27FC236}">
                  <a16:creationId xmlns:a16="http://schemas.microsoft.com/office/drawing/2014/main" id="{00000000-0008-0000-0700-0000B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228</xdr:row>
          <xdr:rowOff>104775</xdr:rowOff>
        </xdr:from>
        <xdr:to>
          <xdr:col>14</xdr:col>
          <xdr:colOff>704850</xdr:colOff>
          <xdr:row>228</xdr:row>
          <xdr:rowOff>266700</xdr:rowOff>
        </xdr:to>
        <xdr:sp macro="" textlink="">
          <xdr:nvSpPr>
            <xdr:cNvPr id="7608" name="OptionButton139" hidden="1">
              <a:extLst>
                <a:ext uri="{63B3BB69-23CF-44E3-9099-C40C66FF867C}">
                  <a14:compatExt spid="_x0000_s7608"/>
                </a:ext>
                <a:ext uri="{FF2B5EF4-FFF2-40B4-BE49-F238E27FC236}">
                  <a16:creationId xmlns:a16="http://schemas.microsoft.com/office/drawing/2014/main" id="{00000000-0008-0000-0700-0000B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229</xdr:row>
          <xdr:rowOff>104775</xdr:rowOff>
        </xdr:from>
        <xdr:to>
          <xdr:col>12</xdr:col>
          <xdr:colOff>704850</xdr:colOff>
          <xdr:row>229</xdr:row>
          <xdr:rowOff>266700</xdr:rowOff>
        </xdr:to>
        <xdr:sp macro="" textlink="">
          <xdr:nvSpPr>
            <xdr:cNvPr id="7609" name="OptionButton140" hidden="1">
              <a:extLst>
                <a:ext uri="{63B3BB69-23CF-44E3-9099-C40C66FF867C}">
                  <a14:compatExt spid="_x0000_s7609"/>
                </a:ext>
                <a:ext uri="{FF2B5EF4-FFF2-40B4-BE49-F238E27FC236}">
                  <a16:creationId xmlns:a16="http://schemas.microsoft.com/office/drawing/2014/main" id="{00000000-0008-0000-0700-0000B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229</xdr:row>
          <xdr:rowOff>104775</xdr:rowOff>
        </xdr:from>
        <xdr:to>
          <xdr:col>13</xdr:col>
          <xdr:colOff>704850</xdr:colOff>
          <xdr:row>229</xdr:row>
          <xdr:rowOff>266700</xdr:rowOff>
        </xdr:to>
        <xdr:sp macro="" textlink="">
          <xdr:nvSpPr>
            <xdr:cNvPr id="7610" name="OptionButton141" hidden="1">
              <a:extLst>
                <a:ext uri="{63B3BB69-23CF-44E3-9099-C40C66FF867C}">
                  <a14:compatExt spid="_x0000_s7610"/>
                </a:ext>
                <a:ext uri="{FF2B5EF4-FFF2-40B4-BE49-F238E27FC236}">
                  <a16:creationId xmlns:a16="http://schemas.microsoft.com/office/drawing/2014/main" id="{00000000-0008-0000-0700-0000B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229</xdr:row>
          <xdr:rowOff>104775</xdr:rowOff>
        </xdr:from>
        <xdr:to>
          <xdr:col>14</xdr:col>
          <xdr:colOff>704850</xdr:colOff>
          <xdr:row>229</xdr:row>
          <xdr:rowOff>266700</xdr:rowOff>
        </xdr:to>
        <xdr:sp macro="" textlink="">
          <xdr:nvSpPr>
            <xdr:cNvPr id="7611" name="OptionButton142" hidden="1">
              <a:extLst>
                <a:ext uri="{63B3BB69-23CF-44E3-9099-C40C66FF867C}">
                  <a14:compatExt spid="_x0000_s7611"/>
                </a:ext>
                <a:ext uri="{FF2B5EF4-FFF2-40B4-BE49-F238E27FC236}">
                  <a16:creationId xmlns:a16="http://schemas.microsoft.com/office/drawing/2014/main" id="{00000000-0008-0000-0700-0000B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230</xdr:row>
          <xdr:rowOff>104775</xdr:rowOff>
        </xdr:from>
        <xdr:to>
          <xdr:col>12</xdr:col>
          <xdr:colOff>704850</xdr:colOff>
          <xdr:row>230</xdr:row>
          <xdr:rowOff>266700</xdr:rowOff>
        </xdr:to>
        <xdr:sp macro="" textlink="">
          <xdr:nvSpPr>
            <xdr:cNvPr id="7612" name="OptionButton143" hidden="1">
              <a:extLst>
                <a:ext uri="{63B3BB69-23CF-44E3-9099-C40C66FF867C}">
                  <a14:compatExt spid="_x0000_s7612"/>
                </a:ext>
                <a:ext uri="{FF2B5EF4-FFF2-40B4-BE49-F238E27FC236}">
                  <a16:creationId xmlns:a16="http://schemas.microsoft.com/office/drawing/2014/main" id="{00000000-0008-0000-0700-0000B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230</xdr:row>
          <xdr:rowOff>104775</xdr:rowOff>
        </xdr:from>
        <xdr:to>
          <xdr:col>13</xdr:col>
          <xdr:colOff>704850</xdr:colOff>
          <xdr:row>230</xdr:row>
          <xdr:rowOff>266700</xdr:rowOff>
        </xdr:to>
        <xdr:sp macro="" textlink="">
          <xdr:nvSpPr>
            <xdr:cNvPr id="7613" name="OptionButton144" hidden="1">
              <a:extLst>
                <a:ext uri="{63B3BB69-23CF-44E3-9099-C40C66FF867C}">
                  <a14:compatExt spid="_x0000_s7613"/>
                </a:ext>
                <a:ext uri="{FF2B5EF4-FFF2-40B4-BE49-F238E27FC236}">
                  <a16:creationId xmlns:a16="http://schemas.microsoft.com/office/drawing/2014/main" id="{00000000-0008-0000-0700-0000B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230</xdr:row>
          <xdr:rowOff>104775</xdr:rowOff>
        </xdr:from>
        <xdr:to>
          <xdr:col>14</xdr:col>
          <xdr:colOff>704850</xdr:colOff>
          <xdr:row>230</xdr:row>
          <xdr:rowOff>266700</xdr:rowOff>
        </xdr:to>
        <xdr:sp macro="" textlink="">
          <xdr:nvSpPr>
            <xdr:cNvPr id="7614" name="OptionButton145" hidden="1">
              <a:extLst>
                <a:ext uri="{63B3BB69-23CF-44E3-9099-C40C66FF867C}">
                  <a14:compatExt spid="_x0000_s7614"/>
                </a:ext>
                <a:ext uri="{FF2B5EF4-FFF2-40B4-BE49-F238E27FC236}">
                  <a16:creationId xmlns:a16="http://schemas.microsoft.com/office/drawing/2014/main" id="{00000000-0008-0000-0700-0000B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240</xdr:row>
          <xdr:rowOff>104775</xdr:rowOff>
        </xdr:from>
        <xdr:to>
          <xdr:col>13</xdr:col>
          <xdr:colOff>704850</xdr:colOff>
          <xdr:row>240</xdr:row>
          <xdr:rowOff>266700</xdr:rowOff>
        </xdr:to>
        <xdr:sp macro="" textlink="">
          <xdr:nvSpPr>
            <xdr:cNvPr id="7615" name="OptionButton146" hidden="1">
              <a:extLst>
                <a:ext uri="{63B3BB69-23CF-44E3-9099-C40C66FF867C}">
                  <a14:compatExt spid="_x0000_s7615"/>
                </a:ext>
                <a:ext uri="{FF2B5EF4-FFF2-40B4-BE49-F238E27FC236}">
                  <a16:creationId xmlns:a16="http://schemas.microsoft.com/office/drawing/2014/main" id="{00000000-0008-0000-0700-0000B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240</xdr:row>
          <xdr:rowOff>104775</xdr:rowOff>
        </xdr:from>
        <xdr:to>
          <xdr:col>14</xdr:col>
          <xdr:colOff>704850</xdr:colOff>
          <xdr:row>240</xdr:row>
          <xdr:rowOff>266700</xdr:rowOff>
        </xdr:to>
        <xdr:sp macro="" textlink="">
          <xdr:nvSpPr>
            <xdr:cNvPr id="7616" name="OptionButton147" hidden="1">
              <a:extLst>
                <a:ext uri="{63B3BB69-23CF-44E3-9099-C40C66FF867C}">
                  <a14:compatExt spid="_x0000_s7616"/>
                </a:ext>
                <a:ext uri="{FF2B5EF4-FFF2-40B4-BE49-F238E27FC236}">
                  <a16:creationId xmlns:a16="http://schemas.microsoft.com/office/drawing/2014/main" id="{00000000-0008-0000-0700-0000C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514350</xdr:colOff>
          <xdr:row>240</xdr:row>
          <xdr:rowOff>104775</xdr:rowOff>
        </xdr:from>
        <xdr:to>
          <xdr:col>15</xdr:col>
          <xdr:colOff>704850</xdr:colOff>
          <xdr:row>240</xdr:row>
          <xdr:rowOff>266700</xdr:rowOff>
        </xdr:to>
        <xdr:sp macro="" textlink="">
          <xdr:nvSpPr>
            <xdr:cNvPr id="7617" name="OptionButton148" hidden="1">
              <a:extLst>
                <a:ext uri="{63B3BB69-23CF-44E3-9099-C40C66FF867C}">
                  <a14:compatExt spid="_x0000_s7617"/>
                </a:ext>
                <a:ext uri="{FF2B5EF4-FFF2-40B4-BE49-F238E27FC236}">
                  <a16:creationId xmlns:a16="http://schemas.microsoft.com/office/drawing/2014/main" id="{00000000-0008-0000-0700-0000C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241</xdr:row>
          <xdr:rowOff>104775</xdr:rowOff>
        </xdr:from>
        <xdr:to>
          <xdr:col>13</xdr:col>
          <xdr:colOff>704850</xdr:colOff>
          <xdr:row>241</xdr:row>
          <xdr:rowOff>266700</xdr:rowOff>
        </xdr:to>
        <xdr:sp macro="" textlink="">
          <xdr:nvSpPr>
            <xdr:cNvPr id="7618" name="OptionButton149" hidden="1">
              <a:extLst>
                <a:ext uri="{63B3BB69-23CF-44E3-9099-C40C66FF867C}">
                  <a14:compatExt spid="_x0000_s7618"/>
                </a:ext>
                <a:ext uri="{FF2B5EF4-FFF2-40B4-BE49-F238E27FC236}">
                  <a16:creationId xmlns:a16="http://schemas.microsoft.com/office/drawing/2014/main" id="{00000000-0008-0000-0700-0000C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241</xdr:row>
          <xdr:rowOff>104775</xdr:rowOff>
        </xdr:from>
        <xdr:to>
          <xdr:col>14</xdr:col>
          <xdr:colOff>704850</xdr:colOff>
          <xdr:row>241</xdr:row>
          <xdr:rowOff>266700</xdr:rowOff>
        </xdr:to>
        <xdr:sp macro="" textlink="">
          <xdr:nvSpPr>
            <xdr:cNvPr id="7619" name="OptionButton150" hidden="1">
              <a:extLst>
                <a:ext uri="{63B3BB69-23CF-44E3-9099-C40C66FF867C}">
                  <a14:compatExt spid="_x0000_s7619"/>
                </a:ext>
                <a:ext uri="{FF2B5EF4-FFF2-40B4-BE49-F238E27FC236}">
                  <a16:creationId xmlns:a16="http://schemas.microsoft.com/office/drawing/2014/main" id="{00000000-0008-0000-0700-0000C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514350</xdr:colOff>
          <xdr:row>241</xdr:row>
          <xdr:rowOff>104775</xdr:rowOff>
        </xdr:from>
        <xdr:to>
          <xdr:col>15</xdr:col>
          <xdr:colOff>704850</xdr:colOff>
          <xdr:row>241</xdr:row>
          <xdr:rowOff>266700</xdr:rowOff>
        </xdr:to>
        <xdr:sp macro="" textlink="">
          <xdr:nvSpPr>
            <xdr:cNvPr id="7620" name="OptionButton151" hidden="1">
              <a:extLst>
                <a:ext uri="{63B3BB69-23CF-44E3-9099-C40C66FF867C}">
                  <a14:compatExt spid="_x0000_s7620"/>
                </a:ext>
                <a:ext uri="{FF2B5EF4-FFF2-40B4-BE49-F238E27FC236}">
                  <a16:creationId xmlns:a16="http://schemas.microsoft.com/office/drawing/2014/main" id="{00000000-0008-0000-0700-0000C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253</xdr:row>
          <xdr:rowOff>104775</xdr:rowOff>
        </xdr:from>
        <xdr:to>
          <xdr:col>13</xdr:col>
          <xdr:colOff>704850</xdr:colOff>
          <xdr:row>253</xdr:row>
          <xdr:rowOff>266700</xdr:rowOff>
        </xdr:to>
        <xdr:sp macro="" textlink="">
          <xdr:nvSpPr>
            <xdr:cNvPr id="7621" name="OptionButton152" hidden="1">
              <a:extLst>
                <a:ext uri="{63B3BB69-23CF-44E3-9099-C40C66FF867C}">
                  <a14:compatExt spid="_x0000_s7621"/>
                </a:ext>
                <a:ext uri="{FF2B5EF4-FFF2-40B4-BE49-F238E27FC236}">
                  <a16:creationId xmlns:a16="http://schemas.microsoft.com/office/drawing/2014/main" id="{00000000-0008-0000-0700-0000C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253</xdr:row>
          <xdr:rowOff>104775</xdr:rowOff>
        </xdr:from>
        <xdr:to>
          <xdr:col>14</xdr:col>
          <xdr:colOff>704850</xdr:colOff>
          <xdr:row>253</xdr:row>
          <xdr:rowOff>266700</xdr:rowOff>
        </xdr:to>
        <xdr:sp macro="" textlink="">
          <xdr:nvSpPr>
            <xdr:cNvPr id="7622" name="OptionButton153" hidden="1">
              <a:extLst>
                <a:ext uri="{63B3BB69-23CF-44E3-9099-C40C66FF867C}">
                  <a14:compatExt spid="_x0000_s7622"/>
                </a:ext>
                <a:ext uri="{FF2B5EF4-FFF2-40B4-BE49-F238E27FC236}">
                  <a16:creationId xmlns:a16="http://schemas.microsoft.com/office/drawing/2014/main" id="{00000000-0008-0000-0700-0000C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514350</xdr:colOff>
          <xdr:row>253</xdr:row>
          <xdr:rowOff>104775</xdr:rowOff>
        </xdr:from>
        <xdr:to>
          <xdr:col>15</xdr:col>
          <xdr:colOff>704850</xdr:colOff>
          <xdr:row>253</xdr:row>
          <xdr:rowOff>266700</xdr:rowOff>
        </xdr:to>
        <xdr:sp macro="" textlink="">
          <xdr:nvSpPr>
            <xdr:cNvPr id="7623" name="OptionButton154" hidden="1">
              <a:extLst>
                <a:ext uri="{63B3BB69-23CF-44E3-9099-C40C66FF867C}">
                  <a14:compatExt spid="_x0000_s7623"/>
                </a:ext>
                <a:ext uri="{FF2B5EF4-FFF2-40B4-BE49-F238E27FC236}">
                  <a16:creationId xmlns:a16="http://schemas.microsoft.com/office/drawing/2014/main" id="{00000000-0008-0000-0700-0000C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210</xdr:row>
          <xdr:rowOff>66675</xdr:rowOff>
        </xdr:from>
        <xdr:to>
          <xdr:col>13</xdr:col>
          <xdr:colOff>628650</xdr:colOff>
          <xdr:row>210</xdr:row>
          <xdr:rowOff>228600</xdr:rowOff>
        </xdr:to>
        <xdr:sp macro="" textlink="">
          <xdr:nvSpPr>
            <xdr:cNvPr id="7630" name="OptionButton155" hidden="1">
              <a:extLst>
                <a:ext uri="{63B3BB69-23CF-44E3-9099-C40C66FF867C}">
                  <a14:compatExt spid="_x0000_s7630"/>
                </a:ext>
                <a:ext uri="{FF2B5EF4-FFF2-40B4-BE49-F238E27FC236}">
                  <a16:creationId xmlns:a16="http://schemas.microsoft.com/office/drawing/2014/main" id="{00000000-0008-0000-0700-0000C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210</xdr:row>
          <xdr:rowOff>66675</xdr:rowOff>
        </xdr:from>
        <xdr:to>
          <xdr:col>14</xdr:col>
          <xdr:colOff>628650</xdr:colOff>
          <xdr:row>210</xdr:row>
          <xdr:rowOff>228600</xdr:rowOff>
        </xdr:to>
        <xdr:sp macro="" textlink="">
          <xdr:nvSpPr>
            <xdr:cNvPr id="7631" name="OptionButton156" hidden="1">
              <a:extLst>
                <a:ext uri="{63B3BB69-23CF-44E3-9099-C40C66FF867C}">
                  <a14:compatExt spid="_x0000_s7631"/>
                </a:ext>
                <a:ext uri="{FF2B5EF4-FFF2-40B4-BE49-F238E27FC236}">
                  <a16:creationId xmlns:a16="http://schemas.microsoft.com/office/drawing/2014/main" id="{00000000-0008-0000-0700-0000C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210</xdr:row>
          <xdr:rowOff>66675</xdr:rowOff>
        </xdr:from>
        <xdr:to>
          <xdr:col>15</xdr:col>
          <xdr:colOff>628650</xdr:colOff>
          <xdr:row>210</xdr:row>
          <xdr:rowOff>228600</xdr:rowOff>
        </xdr:to>
        <xdr:sp macro="" textlink="">
          <xdr:nvSpPr>
            <xdr:cNvPr id="7632" name="OptionButton157" hidden="1">
              <a:extLst>
                <a:ext uri="{63B3BB69-23CF-44E3-9099-C40C66FF867C}">
                  <a14:compatExt spid="_x0000_s7632"/>
                </a:ext>
                <a:ext uri="{FF2B5EF4-FFF2-40B4-BE49-F238E27FC236}">
                  <a16:creationId xmlns:a16="http://schemas.microsoft.com/office/drawing/2014/main" id="{00000000-0008-0000-0700-0000D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140</xdr:row>
          <xdr:rowOff>190500</xdr:rowOff>
        </xdr:from>
        <xdr:to>
          <xdr:col>8</xdr:col>
          <xdr:colOff>590550</xdr:colOff>
          <xdr:row>142</xdr:row>
          <xdr:rowOff>123825</xdr:rowOff>
        </xdr:to>
        <xdr:sp macro="" textlink="">
          <xdr:nvSpPr>
            <xdr:cNvPr id="35841" name="OptionButton24"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1609725</xdr:colOff>
          <xdr:row>140</xdr:row>
          <xdr:rowOff>142875</xdr:rowOff>
        </xdr:from>
        <xdr:to>
          <xdr:col>6</xdr:col>
          <xdr:colOff>28575</xdr:colOff>
          <xdr:row>143</xdr:row>
          <xdr:rowOff>19050</xdr:rowOff>
        </xdr:to>
        <xdr:sp macro="" textlink="">
          <xdr:nvSpPr>
            <xdr:cNvPr id="35842" name="OptionButton25" hidden="1">
              <a:extLst>
                <a:ext uri="{63B3BB69-23CF-44E3-9099-C40C66FF867C}">
                  <a14:compatExt spid="_x0000_s35842"/>
                </a:ext>
                <a:ext uri="{FF2B5EF4-FFF2-40B4-BE49-F238E27FC236}">
                  <a16:creationId xmlns:a16="http://schemas.microsoft.com/office/drawing/2014/main" id="{00000000-0008-0000-0800-00000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148</xdr:row>
          <xdr:rowOff>85725</xdr:rowOff>
        </xdr:from>
        <xdr:to>
          <xdr:col>12</xdr:col>
          <xdr:colOff>1009650</xdr:colOff>
          <xdr:row>149</xdr:row>
          <xdr:rowOff>171450</xdr:rowOff>
        </xdr:to>
        <xdr:sp macro="" textlink="">
          <xdr:nvSpPr>
            <xdr:cNvPr id="35843" name="OptionButton26" hidden="1">
              <a:extLst>
                <a:ext uri="{63B3BB69-23CF-44E3-9099-C40C66FF867C}">
                  <a14:compatExt spid="_x0000_s35843"/>
                </a:ext>
                <a:ext uri="{FF2B5EF4-FFF2-40B4-BE49-F238E27FC236}">
                  <a16:creationId xmlns:a16="http://schemas.microsoft.com/office/drawing/2014/main" id="{00000000-0008-0000-0800-00000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104775</xdr:rowOff>
        </xdr:from>
        <xdr:to>
          <xdr:col>15</xdr:col>
          <xdr:colOff>161925</xdr:colOff>
          <xdr:row>149</xdr:row>
          <xdr:rowOff>142875</xdr:rowOff>
        </xdr:to>
        <xdr:sp macro="" textlink="">
          <xdr:nvSpPr>
            <xdr:cNvPr id="35844" name="OptionButton27" hidden="1">
              <a:extLst>
                <a:ext uri="{63B3BB69-23CF-44E3-9099-C40C66FF867C}">
                  <a14:compatExt spid="_x0000_s35844"/>
                </a:ext>
                <a:ext uri="{FF2B5EF4-FFF2-40B4-BE49-F238E27FC236}">
                  <a16:creationId xmlns:a16="http://schemas.microsoft.com/office/drawing/2014/main" id="{00000000-0008-0000-0800-00000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295275</xdr:colOff>
      <xdr:row>145</xdr:row>
      <xdr:rowOff>190499</xdr:rowOff>
    </xdr:from>
    <xdr:to>
      <xdr:col>16</xdr:col>
      <xdr:colOff>95251</xdr:colOff>
      <xdr:row>159</xdr:row>
      <xdr:rowOff>76200</xdr:rowOff>
    </xdr:to>
    <xdr:sp macro="" textlink="">
      <xdr:nvSpPr>
        <xdr:cNvPr id="7" name="6 Rectángulo">
          <a:extLst>
            <a:ext uri="{FF2B5EF4-FFF2-40B4-BE49-F238E27FC236}">
              <a16:creationId xmlns:a16="http://schemas.microsoft.com/office/drawing/2014/main" id="{00000000-0008-0000-0800-000007000000}"/>
            </a:ext>
          </a:extLst>
        </xdr:cNvPr>
        <xdr:cNvSpPr/>
      </xdr:nvSpPr>
      <xdr:spPr>
        <a:xfrm>
          <a:off x="6029325" y="35356799"/>
          <a:ext cx="5819776" cy="370522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295275</xdr:colOff>
      <xdr:row>139</xdr:row>
      <xdr:rowOff>114300</xdr:rowOff>
    </xdr:from>
    <xdr:to>
      <xdr:col>16</xdr:col>
      <xdr:colOff>95251</xdr:colOff>
      <xdr:row>145</xdr:row>
      <xdr:rowOff>76201</xdr:rowOff>
    </xdr:to>
    <xdr:sp macro="" textlink="">
      <xdr:nvSpPr>
        <xdr:cNvPr id="8" name="7 Rectángulo">
          <a:extLst>
            <a:ext uri="{FF2B5EF4-FFF2-40B4-BE49-F238E27FC236}">
              <a16:creationId xmlns:a16="http://schemas.microsoft.com/office/drawing/2014/main" id="{00000000-0008-0000-0800-000008000000}"/>
            </a:ext>
          </a:extLst>
        </xdr:cNvPr>
        <xdr:cNvSpPr/>
      </xdr:nvSpPr>
      <xdr:spPr>
        <a:xfrm>
          <a:off x="6029325" y="33937575"/>
          <a:ext cx="5819776" cy="130492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95250</xdr:colOff>
      <xdr:row>139</xdr:row>
      <xdr:rowOff>95249</xdr:rowOff>
    </xdr:from>
    <xdr:to>
      <xdr:col>9</xdr:col>
      <xdr:colOff>180974</xdr:colOff>
      <xdr:row>152</xdr:row>
      <xdr:rowOff>133349</xdr:rowOff>
    </xdr:to>
    <xdr:sp macro="" textlink="">
      <xdr:nvSpPr>
        <xdr:cNvPr id="9" name="8 Rectángulo">
          <a:extLst>
            <a:ext uri="{FF2B5EF4-FFF2-40B4-BE49-F238E27FC236}">
              <a16:creationId xmlns:a16="http://schemas.microsoft.com/office/drawing/2014/main" id="{00000000-0008-0000-0800-000009000000}"/>
            </a:ext>
          </a:extLst>
        </xdr:cNvPr>
        <xdr:cNvSpPr/>
      </xdr:nvSpPr>
      <xdr:spPr>
        <a:xfrm>
          <a:off x="742950" y="33918524"/>
          <a:ext cx="5172074" cy="28003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123826</xdr:colOff>
      <xdr:row>153</xdr:row>
      <xdr:rowOff>85726</xdr:rowOff>
    </xdr:from>
    <xdr:to>
      <xdr:col>9</xdr:col>
      <xdr:colOff>171450</xdr:colOff>
      <xdr:row>159</xdr:row>
      <xdr:rowOff>85726</xdr:rowOff>
    </xdr:to>
    <xdr:sp macro="" textlink="">
      <xdr:nvSpPr>
        <xdr:cNvPr id="10" name="9 Rectángulo">
          <a:extLst>
            <a:ext uri="{FF2B5EF4-FFF2-40B4-BE49-F238E27FC236}">
              <a16:creationId xmlns:a16="http://schemas.microsoft.com/office/drawing/2014/main" id="{00000000-0008-0000-0800-00000A000000}"/>
            </a:ext>
          </a:extLst>
        </xdr:cNvPr>
        <xdr:cNvSpPr/>
      </xdr:nvSpPr>
      <xdr:spPr>
        <a:xfrm>
          <a:off x="771526" y="36861751"/>
          <a:ext cx="5133974" cy="9525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1</xdr:col>
      <xdr:colOff>161925</xdr:colOff>
      <xdr:row>0</xdr:row>
      <xdr:rowOff>161925</xdr:rowOff>
    </xdr:from>
    <xdr:to>
      <xdr:col>4</xdr:col>
      <xdr:colOff>1211792</xdr:colOff>
      <xdr:row>4</xdr:row>
      <xdr:rowOff>87842</xdr:rowOff>
    </xdr:to>
    <xdr:pic>
      <xdr:nvPicPr>
        <xdr:cNvPr id="16" name="15 Imagen" descr="Resultado de imagen para inter american development bank">
          <a:extLst>
            <a:ext uri="{FF2B5EF4-FFF2-40B4-BE49-F238E27FC236}">
              <a16:creationId xmlns:a16="http://schemas.microsoft.com/office/drawing/2014/main" id="{00000000-0008-0000-0800-000010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684" b="36842"/>
        <a:stretch/>
      </xdr:blipFill>
      <xdr:spPr bwMode="auto">
        <a:xfrm>
          <a:off x="276225" y="161925"/>
          <a:ext cx="1802342" cy="897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523875</xdr:colOff>
          <xdr:row>64</xdr:row>
          <xdr:rowOff>28575</xdr:rowOff>
        </xdr:from>
        <xdr:to>
          <xdr:col>12</xdr:col>
          <xdr:colOff>762000</xdr:colOff>
          <xdr:row>64</xdr:row>
          <xdr:rowOff>219075</xdr:rowOff>
        </xdr:to>
        <xdr:sp macro="" textlink="">
          <xdr:nvSpPr>
            <xdr:cNvPr id="35848" name="OptionButton1" hidden="1">
              <a:extLst>
                <a:ext uri="{63B3BB69-23CF-44E3-9099-C40C66FF867C}">
                  <a14:compatExt spid="_x0000_s35848"/>
                </a:ext>
                <a:ext uri="{FF2B5EF4-FFF2-40B4-BE49-F238E27FC236}">
                  <a16:creationId xmlns:a16="http://schemas.microsoft.com/office/drawing/2014/main" id="{00000000-0008-0000-0800-00000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64</xdr:row>
          <xdr:rowOff>28575</xdr:rowOff>
        </xdr:from>
        <xdr:to>
          <xdr:col>13</xdr:col>
          <xdr:colOff>704850</xdr:colOff>
          <xdr:row>64</xdr:row>
          <xdr:rowOff>219075</xdr:rowOff>
        </xdr:to>
        <xdr:sp macro="" textlink="">
          <xdr:nvSpPr>
            <xdr:cNvPr id="35849" name="OptionButton2" hidden="1">
              <a:extLst>
                <a:ext uri="{63B3BB69-23CF-44E3-9099-C40C66FF867C}">
                  <a14:compatExt spid="_x0000_s35849"/>
                </a:ext>
                <a:ext uri="{FF2B5EF4-FFF2-40B4-BE49-F238E27FC236}">
                  <a16:creationId xmlns:a16="http://schemas.microsoft.com/office/drawing/2014/main" id="{00000000-0008-0000-0800-00000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64</xdr:row>
          <xdr:rowOff>28575</xdr:rowOff>
        </xdr:from>
        <xdr:to>
          <xdr:col>14</xdr:col>
          <xdr:colOff>704850</xdr:colOff>
          <xdr:row>64</xdr:row>
          <xdr:rowOff>219075</xdr:rowOff>
        </xdr:to>
        <xdr:sp macro="" textlink="">
          <xdr:nvSpPr>
            <xdr:cNvPr id="35850" name="OptionButton6" hidden="1">
              <a:extLst>
                <a:ext uri="{63B3BB69-23CF-44E3-9099-C40C66FF867C}">
                  <a14:compatExt spid="_x0000_s35850"/>
                </a:ext>
                <a:ext uri="{FF2B5EF4-FFF2-40B4-BE49-F238E27FC236}">
                  <a16:creationId xmlns:a16="http://schemas.microsoft.com/office/drawing/2014/main" id="{00000000-0008-0000-0800-00000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65</xdr:row>
          <xdr:rowOff>28575</xdr:rowOff>
        </xdr:from>
        <xdr:to>
          <xdr:col>12</xdr:col>
          <xdr:colOff>762000</xdr:colOff>
          <xdr:row>65</xdr:row>
          <xdr:rowOff>219075</xdr:rowOff>
        </xdr:to>
        <xdr:sp macro="" textlink="">
          <xdr:nvSpPr>
            <xdr:cNvPr id="35851" name="OptionButton7" hidden="1">
              <a:extLst>
                <a:ext uri="{63B3BB69-23CF-44E3-9099-C40C66FF867C}">
                  <a14:compatExt spid="_x0000_s35851"/>
                </a:ext>
                <a:ext uri="{FF2B5EF4-FFF2-40B4-BE49-F238E27FC236}">
                  <a16:creationId xmlns:a16="http://schemas.microsoft.com/office/drawing/2014/main" id="{00000000-0008-0000-0800-00000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65</xdr:row>
          <xdr:rowOff>38100</xdr:rowOff>
        </xdr:from>
        <xdr:to>
          <xdr:col>13</xdr:col>
          <xdr:colOff>704850</xdr:colOff>
          <xdr:row>65</xdr:row>
          <xdr:rowOff>228600</xdr:rowOff>
        </xdr:to>
        <xdr:sp macro="" textlink="">
          <xdr:nvSpPr>
            <xdr:cNvPr id="35852" name="OptionButton8" hidden="1">
              <a:extLst>
                <a:ext uri="{63B3BB69-23CF-44E3-9099-C40C66FF867C}">
                  <a14:compatExt spid="_x0000_s35852"/>
                </a:ext>
                <a:ext uri="{FF2B5EF4-FFF2-40B4-BE49-F238E27FC236}">
                  <a16:creationId xmlns:a16="http://schemas.microsoft.com/office/drawing/2014/main" id="{00000000-0008-0000-0800-00000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65</xdr:row>
          <xdr:rowOff>28575</xdr:rowOff>
        </xdr:from>
        <xdr:to>
          <xdr:col>14</xdr:col>
          <xdr:colOff>704850</xdr:colOff>
          <xdr:row>65</xdr:row>
          <xdr:rowOff>219075</xdr:rowOff>
        </xdr:to>
        <xdr:sp macro="" textlink="">
          <xdr:nvSpPr>
            <xdr:cNvPr id="35853" name="OptionButton9" hidden="1">
              <a:extLst>
                <a:ext uri="{63B3BB69-23CF-44E3-9099-C40C66FF867C}">
                  <a14:compatExt spid="_x0000_s35853"/>
                </a:ext>
                <a:ext uri="{FF2B5EF4-FFF2-40B4-BE49-F238E27FC236}">
                  <a16:creationId xmlns:a16="http://schemas.microsoft.com/office/drawing/2014/main" id="{00000000-0008-0000-0800-00000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66</xdr:row>
          <xdr:rowOff>28575</xdr:rowOff>
        </xdr:from>
        <xdr:to>
          <xdr:col>12</xdr:col>
          <xdr:colOff>762000</xdr:colOff>
          <xdr:row>66</xdr:row>
          <xdr:rowOff>219075</xdr:rowOff>
        </xdr:to>
        <xdr:sp macro="" textlink="">
          <xdr:nvSpPr>
            <xdr:cNvPr id="35854" name="OptionButton10" hidden="1">
              <a:extLst>
                <a:ext uri="{63B3BB69-23CF-44E3-9099-C40C66FF867C}">
                  <a14:compatExt spid="_x0000_s35854"/>
                </a:ext>
                <a:ext uri="{FF2B5EF4-FFF2-40B4-BE49-F238E27FC236}">
                  <a16:creationId xmlns:a16="http://schemas.microsoft.com/office/drawing/2014/main" id="{00000000-0008-0000-0800-00000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66</xdr:row>
          <xdr:rowOff>19050</xdr:rowOff>
        </xdr:from>
        <xdr:to>
          <xdr:col>13</xdr:col>
          <xdr:colOff>704850</xdr:colOff>
          <xdr:row>66</xdr:row>
          <xdr:rowOff>209550</xdr:rowOff>
        </xdr:to>
        <xdr:sp macro="" textlink="">
          <xdr:nvSpPr>
            <xdr:cNvPr id="35855" name="OptionButton11" hidden="1">
              <a:extLst>
                <a:ext uri="{63B3BB69-23CF-44E3-9099-C40C66FF867C}">
                  <a14:compatExt spid="_x0000_s35855"/>
                </a:ext>
                <a:ext uri="{FF2B5EF4-FFF2-40B4-BE49-F238E27FC236}">
                  <a16:creationId xmlns:a16="http://schemas.microsoft.com/office/drawing/2014/main" id="{00000000-0008-0000-0800-00000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66</xdr:row>
          <xdr:rowOff>38100</xdr:rowOff>
        </xdr:from>
        <xdr:to>
          <xdr:col>14</xdr:col>
          <xdr:colOff>714375</xdr:colOff>
          <xdr:row>66</xdr:row>
          <xdr:rowOff>228600</xdr:rowOff>
        </xdr:to>
        <xdr:sp macro="" textlink="">
          <xdr:nvSpPr>
            <xdr:cNvPr id="35856" name="OptionButton12" hidden="1">
              <a:extLst>
                <a:ext uri="{63B3BB69-23CF-44E3-9099-C40C66FF867C}">
                  <a14:compatExt spid="_x0000_s35856"/>
                </a:ext>
                <a:ext uri="{FF2B5EF4-FFF2-40B4-BE49-F238E27FC236}">
                  <a16:creationId xmlns:a16="http://schemas.microsoft.com/office/drawing/2014/main" id="{00000000-0008-0000-0800-00001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67</xdr:row>
          <xdr:rowOff>47625</xdr:rowOff>
        </xdr:from>
        <xdr:to>
          <xdr:col>12</xdr:col>
          <xdr:colOff>752475</xdr:colOff>
          <xdr:row>67</xdr:row>
          <xdr:rowOff>238125</xdr:rowOff>
        </xdr:to>
        <xdr:sp macro="" textlink="">
          <xdr:nvSpPr>
            <xdr:cNvPr id="35857" name="OptionButton13" hidden="1">
              <a:extLst>
                <a:ext uri="{63B3BB69-23CF-44E3-9099-C40C66FF867C}">
                  <a14:compatExt spid="_x0000_s35857"/>
                </a:ext>
                <a:ext uri="{FF2B5EF4-FFF2-40B4-BE49-F238E27FC236}">
                  <a16:creationId xmlns:a16="http://schemas.microsoft.com/office/drawing/2014/main" id="{00000000-0008-0000-0800-00001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485775</xdr:colOff>
          <xdr:row>67</xdr:row>
          <xdr:rowOff>47625</xdr:rowOff>
        </xdr:from>
        <xdr:to>
          <xdr:col>13</xdr:col>
          <xdr:colOff>723900</xdr:colOff>
          <xdr:row>67</xdr:row>
          <xdr:rowOff>238125</xdr:rowOff>
        </xdr:to>
        <xdr:sp macro="" textlink="">
          <xdr:nvSpPr>
            <xdr:cNvPr id="35858" name="OptionButton14" hidden="1">
              <a:extLst>
                <a:ext uri="{63B3BB69-23CF-44E3-9099-C40C66FF867C}">
                  <a14:compatExt spid="_x0000_s35858"/>
                </a:ext>
                <a:ext uri="{FF2B5EF4-FFF2-40B4-BE49-F238E27FC236}">
                  <a16:creationId xmlns:a16="http://schemas.microsoft.com/office/drawing/2014/main" id="{00000000-0008-0000-0800-00001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67</xdr:row>
          <xdr:rowOff>57150</xdr:rowOff>
        </xdr:from>
        <xdr:to>
          <xdr:col>14</xdr:col>
          <xdr:colOff>714375</xdr:colOff>
          <xdr:row>67</xdr:row>
          <xdr:rowOff>247650</xdr:rowOff>
        </xdr:to>
        <xdr:sp macro="" textlink="">
          <xdr:nvSpPr>
            <xdr:cNvPr id="35859" name="OptionButton15" hidden="1">
              <a:extLst>
                <a:ext uri="{63B3BB69-23CF-44E3-9099-C40C66FF867C}">
                  <a14:compatExt spid="_x0000_s35859"/>
                </a:ext>
                <a:ext uri="{FF2B5EF4-FFF2-40B4-BE49-F238E27FC236}">
                  <a16:creationId xmlns:a16="http://schemas.microsoft.com/office/drawing/2014/main" id="{00000000-0008-0000-0800-00001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97</xdr:row>
          <xdr:rowOff>104775</xdr:rowOff>
        </xdr:from>
        <xdr:to>
          <xdr:col>10</xdr:col>
          <xdr:colOff>400050</xdr:colOff>
          <xdr:row>97</xdr:row>
          <xdr:rowOff>295275</xdr:rowOff>
        </xdr:to>
        <xdr:sp macro="" textlink="">
          <xdr:nvSpPr>
            <xdr:cNvPr id="35860" name="OptionButton16" hidden="1">
              <a:extLst>
                <a:ext uri="{63B3BB69-23CF-44E3-9099-C40C66FF867C}">
                  <a14:compatExt spid="_x0000_s35860"/>
                </a:ext>
                <a:ext uri="{FF2B5EF4-FFF2-40B4-BE49-F238E27FC236}">
                  <a16:creationId xmlns:a16="http://schemas.microsoft.com/office/drawing/2014/main" id="{00000000-0008-0000-0800-00001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97</xdr:row>
          <xdr:rowOff>95250</xdr:rowOff>
        </xdr:from>
        <xdr:to>
          <xdr:col>12</xdr:col>
          <xdr:colOff>714375</xdr:colOff>
          <xdr:row>97</xdr:row>
          <xdr:rowOff>285750</xdr:rowOff>
        </xdr:to>
        <xdr:sp macro="" textlink="">
          <xdr:nvSpPr>
            <xdr:cNvPr id="35861" name="OptionButton17" hidden="1">
              <a:extLst>
                <a:ext uri="{63B3BB69-23CF-44E3-9099-C40C66FF867C}">
                  <a14:compatExt spid="_x0000_s35861"/>
                </a:ext>
                <a:ext uri="{FF2B5EF4-FFF2-40B4-BE49-F238E27FC236}">
                  <a16:creationId xmlns:a16="http://schemas.microsoft.com/office/drawing/2014/main" id="{00000000-0008-0000-0800-00001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97</xdr:row>
          <xdr:rowOff>85725</xdr:rowOff>
        </xdr:from>
        <xdr:to>
          <xdr:col>13</xdr:col>
          <xdr:colOff>704850</xdr:colOff>
          <xdr:row>97</xdr:row>
          <xdr:rowOff>276225</xdr:rowOff>
        </xdr:to>
        <xdr:sp macro="" textlink="">
          <xdr:nvSpPr>
            <xdr:cNvPr id="35862" name="OptionButton18" hidden="1">
              <a:extLst>
                <a:ext uri="{63B3BB69-23CF-44E3-9099-C40C66FF867C}">
                  <a14:compatExt spid="_x0000_s35862"/>
                </a:ext>
                <a:ext uri="{FF2B5EF4-FFF2-40B4-BE49-F238E27FC236}">
                  <a16:creationId xmlns:a16="http://schemas.microsoft.com/office/drawing/2014/main" id="{00000000-0008-0000-0800-00001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98</xdr:row>
          <xdr:rowOff>114300</xdr:rowOff>
        </xdr:from>
        <xdr:to>
          <xdr:col>10</xdr:col>
          <xdr:colOff>381000</xdr:colOff>
          <xdr:row>98</xdr:row>
          <xdr:rowOff>304800</xdr:rowOff>
        </xdr:to>
        <xdr:sp macro="" textlink="">
          <xdr:nvSpPr>
            <xdr:cNvPr id="35863" name="OptionButton19" hidden="1">
              <a:extLst>
                <a:ext uri="{63B3BB69-23CF-44E3-9099-C40C66FF867C}">
                  <a14:compatExt spid="_x0000_s35863"/>
                </a:ext>
                <a:ext uri="{FF2B5EF4-FFF2-40B4-BE49-F238E27FC236}">
                  <a16:creationId xmlns:a16="http://schemas.microsoft.com/office/drawing/2014/main" id="{00000000-0008-0000-0800-00001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98</xdr:row>
          <xdr:rowOff>95250</xdr:rowOff>
        </xdr:from>
        <xdr:to>
          <xdr:col>12</xdr:col>
          <xdr:colOff>695325</xdr:colOff>
          <xdr:row>98</xdr:row>
          <xdr:rowOff>285750</xdr:rowOff>
        </xdr:to>
        <xdr:sp macro="" textlink="">
          <xdr:nvSpPr>
            <xdr:cNvPr id="35864" name="OptionButton20" hidden="1">
              <a:extLst>
                <a:ext uri="{63B3BB69-23CF-44E3-9099-C40C66FF867C}">
                  <a14:compatExt spid="_x0000_s35864"/>
                </a:ext>
                <a:ext uri="{FF2B5EF4-FFF2-40B4-BE49-F238E27FC236}">
                  <a16:creationId xmlns:a16="http://schemas.microsoft.com/office/drawing/2014/main" id="{00000000-0008-0000-0800-00001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98</xdr:row>
          <xdr:rowOff>104775</xdr:rowOff>
        </xdr:from>
        <xdr:to>
          <xdr:col>13</xdr:col>
          <xdr:colOff>685800</xdr:colOff>
          <xdr:row>98</xdr:row>
          <xdr:rowOff>295275</xdr:rowOff>
        </xdr:to>
        <xdr:sp macro="" textlink="">
          <xdr:nvSpPr>
            <xdr:cNvPr id="35865" name="OptionButton21" hidden="1">
              <a:extLst>
                <a:ext uri="{63B3BB69-23CF-44E3-9099-C40C66FF867C}">
                  <a14:compatExt spid="_x0000_s35865"/>
                </a:ext>
                <a:ext uri="{FF2B5EF4-FFF2-40B4-BE49-F238E27FC236}">
                  <a16:creationId xmlns:a16="http://schemas.microsoft.com/office/drawing/2014/main" id="{00000000-0008-0000-0800-00001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99</xdr:row>
          <xdr:rowOff>133350</xdr:rowOff>
        </xdr:from>
        <xdr:to>
          <xdr:col>10</xdr:col>
          <xdr:colOff>381000</xdr:colOff>
          <xdr:row>99</xdr:row>
          <xdr:rowOff>323850</xdr:rowOff>
        </xdr:to>
        <xdr:sp macro="" textlink="">
          <xdr:nvSpPr>
            <xdr:cNvPr id="35866" name="OptionButton22" hidden="1">
              <a:extLst>
                <a:ext uri="{63B3BB69-23CF-44E3-9099-C40C66FF867C}">
                  <a14:compatExt spid="_x0000_s35866"/>
                </a:ext>
                <a:ext uri="{FF2B5EF4-FFF2-40B4-BE49-F238E27FC236}">
                  <a16:creationId xmlns:a16="http://schemas.microsoft.com/office/drawing/2014/main" id="{00000000-0008-0000-0800-00001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99</xdr:row>
          <xdr:rowOff>76200</xdr:rowOff>
        </xdr:from>
        <xdr:to>
          <xdr:col>12</xdr:col>
          <xdr:colOff>695325</xdr:colOff>
          <xdr:row>99</xdr:row>
          <xdr:rowOff>266700</xdr:rowOff>
        </xdr:to>
        <xdr:sp macro="" textlink="">
          <xdr:nvSpPr>
            <xdr:cNvPr id="35867" name="OptionButton23" hidden="1">
              <a:extLst>
                <a:ext uri="{63B3BB69-23CF-44E3-9099-C40C66FF867C}">
                  <a14:compatExt spid="_x0000_s35867"/>
                </a:ext>
                <a:ext uri="{FF2B5EF4-FFF2-40B4-BE49-F238E27FC236}">
                  <a16:creationId xmlns:a16="http://schemas.microsoft.com/office/drawing/2014/main" id="{00000000-0008-0000-0800-00001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99</xdr:row>
          <xdr:rowOff>85725</xdr:rowOff>
        </xdr:from>
        <xdr:to>
          <xdr:col>13</xdr:col>
          <xdr:colOff>695325</xdr:colOff>
          <xdr:row>99</xdr:row>
          <xdr:rowOff>276225</xdr:rowOff>
        </xdr:to>
        <xdr:sp macro="" textlink="">
          <xdr:nvSpPr>
            <xdr:cNvPr id="35868" name="OptionButton28" hidden="1">
              <a:extLst>
                <a:ext uri="{63B3BB69-23CF-44E3-9099-C40C66FF867C}">
                  <a14:compatExt spid="_x0000_s35868"/>
                </a:ext>
                <a:ext uri="{FF2B5EF4-FFF2-40B4-BE49-F238E27FC236}">
                  <a16:creationId xmlns:a16="http://schemas.microsoft.com/office/drawing/2014/main" id="{00000000-0008-0000-0800-00001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100</xdr:row>
          <xdr:rowOff>76200</xdr:rowOff>
        </xdr:from>
        <xdr:to>
          <xdr:col>10</xdr:col>
          <xdr:colOff>381000</xdr:colOff>
          <xdr:row>100</xdr:row>
          <xdr:rowOff>266700</xdr:rowOff>
        </xdr:to>
        <xdr:sp macro="" textlink="">
          <xdr:nvSpPr>
            <xdr:cNvPr id="35869" name="OptionButton29" hidden="1">
              <a:extLst>
                <a:ext uri="{63B3BB69-23CF-44E3-9099-C40C66FF867C}">
                  <a14:compatExt spid="_x0000_s35869"/>
                </a:ext>
                <a:ext uri="{FF2B5EF4-FFF2-40B4-BE49-F238E27FC236}">
                  <a16:creationId xmlns:a16="http://schemas.microsoft.com/office/drawing/2014/main" id="{00000000-0008-0000-0800-00001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100</xdr:row>
          <xdr:rowOff>85725</xdr:rowOff>
        </xdr:from>
        <xdr:to>
          <xdr:col>12</xdr:col>
          <xdr:colOff>695325</xdr:colOff>
          <xdr:row>100</xdr:row>
          <xdr:rowOff>276225</xdr:rowOff>
        </xdr:to>
        <xdr:sp macro="" textlink="">
          <xdr:nvSpPr>
            <xdr:cNvPr id="35870" name="OptionButton30" hidden="1">
              <a:extLst>
                <a:ext uri="{63B3BB69-23CF-44E3-9099-C40C66FF867C}">
                  <a14:compatExt spid="_x0000_s35870"/>
                </a:ext>
                <a:ext uri="{FF2B5EF4-FFF2-40B4-BE49-F238E27FC236}">
                  <a16:creationId xmlns:a16="http://schemas.microsoft.com/office/drawing/2014/main" id="{00000000-0008-0000-0800-00001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100</xdr:row>
          <xdr:rowOff>76200</xdr:rowOff>
        </xdr:from>
        <xdr:to>
          <xdr:col>13</xdr:col>
          <xdr:colOff>704850</xdr:colOff>
          <xdr:row>100</xdr:row>
          <xdr:rowOff>266700</xdr:rowOff>
        </xdr:to>
        <xdr:sp macro="" textlink="">
          <xdr:nvSpPr>
            <xdr:cNvPr id="35871" name="OptionButton31" hidden="1">
              <a:extLst>
                <a:ext uri="{63B3BB69-23CF-44E3-9099-C40C66FF867C}">
                  <a14:compatExt spid="_x0000_s35871"/>
                </a:ext>
                <a:ext uri="{FF2B5EF4-FFF2-40B4-BE49-F238E27FC236}">
                  <a16:creationId xmlns:a16="http://schemas.microsoft.com/office/drawing/2014/main" id="{00000000-0008-0000-0800-00001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111</xdr:row>
          <xdr:rowOff>152400</xdr:rowOff>
        </xdr:from>
        <xdr:to>
          <xdr:col>12</xdr:col>
          <xdr:colOff>704850</xdr:colOff>
          <xdr:row>111</xdr:row>
          <xdr:rowOff>352425</xdr:rowOff>
        </xdr:to>
        <xdr:sp macro="" textlink="">
          <xdr:nvSpPr>
            <xdr:cNvPr id="35872" name="OptionButton32" hidden="1">
              <a:extLst>
                <a:ext uri="{63B3BB69-23CF-44E3-9099-C40C66FF867C}">
                  <a14:compatExt spid="_x0000_s35872"/>
                </a:ext>
                <a:ext uri="{FF2B5EF4-FFF2-40B4-BE49-F238E27FC236}">
                  <a16:creationId xmlns:a16="http://schemas.microsoft.com/office/drawing/2014/main" id="{00000000-0008-0000-0800-00002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111</xdr:row>
          <xdr:rowOff>190500</xdr:rowOff>
        </xdr:from>
        <xdr:to>
          <xdr:col>13</xdr:col>
          <xdr:colOff>695325</xdr:colOff>
          <xdr:row>111</xdr:row>
          <xdr:rowOff>390525</xdr:rowOff>
        </xdr:to>
        <xdr:sp macro="" textlink="">
          <xdr:nvSpPr>
            <xdr:cNvPr id="35873" name="OptionButton33" hidden="1">
              <a:extLst>
                <a:ext uri="{63B3BB69-23CF-44E3-9099-C40C66FF867C}">
                  <a14:compatExt spid="_x0000_s35873"/>
                </a:ext>
                <a:ext uri="{FF2B5EF4-FFF2-40B4-BE49-F238E27FC236}">
                  <a16:creationId xmlns:a16="http://schemas.microsoft.com/office/drawing/2014/main" id="{00000000-0008-0000-0800-00002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111</xdr:row>
          <xdr:rowOff>161925</xdr:rowOff>
        </xdr:from>
        <xdr:to>
          <xdr:col>14</xdr:col>
          <xdr:colOff>676275</xdr:colOff>
          <xdr:row>111</xdr:row>
          <xdr:rowOff>361950</xdr:rowOff>
        </xdr:to>
        <xdr:sp macro="" textlink="">
          <xdr:nvSpPr>
            <xdr:cNvPr id="35874" name="OptionButton34" hidden="1">
              <a:extLst>
                <a:ext uri="{63B3BB69-23CF-44E3-9099-C40C66FF867C}">
                  <a14:compatExt spid="_x0000_s35874"/>
                </a:ext>
                <a:ext uri="{FF2B5EF4-FFF2-40B4-BE49-F238E27FC236}">
                  <a16:creationId xmlns:a16="http://schemas.microsoft.com/office/drawing/2014/main" id="{00000000-0008-0000-0800-00002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112</xdr:row>
          <xdr:rowOff>152400</xdr:rowOff>
        </xdr:from>
        <xdr:to>
          <xdr:col>12</xdr:col>
          <xdr:colOff>704850</xdr:colOff>
          <xdr:row>112</xdr:row>
          <xdr:rowOff>352425</xdr:rowOff>
        </xdr:to>
        <xdr:sp macro="" textlink="">
          <xdr:nvSpPr>
            <xdr:cNvPr id="35875" name="OptionButton35" hidden="1">
              <a:extLst>
                <a:ext uri="{63B3BB69-23CF-44E3-9099-C40C66FF867C}">
                  <a14:compatExt spid="_x0000_s35875"/>
                </a:ext>
                <a:ext uri="{FF2B5EF4-FFF2-40B4-BE49-F238E27FC236}">
                  <a16:creationId xmlns:a16="http://schemas.microsoft.com/office/drawing/2014/main" id="{00000000-0008-0000-0800-00002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112</xdr:row>
          <xdr:rowOff>190500</xdr:rowOff>
        </xdr:from>
        <xdr:to>
          <xdr:col>13</xdr:col>
          <xdr:colOff>695325</xdr:colOff>
          <xdr:row>112</xdr:row>
          <xdr:rowOff>390525</xdr:rowOff>
        </xdr:to>
        <xdr:sp macro="" textlink="">
          <xdr:nvSpPr>
            <xdr:cNvPr id="35876" name="OptionButton36" hidden="1">
              <a:extLst>
                <a:ext uri="{63B3BB69-23CF-44E3-9099-C40C66FF867C}">
                  <a14:compatExt spid="_x0000_s35876"/>
                </a:ext>
                <a:ext uri="{FF2B5EF4-FFF2-40B4-BE49-F238E27FC236}">
                  <a16:creationId xmlns:a16="http://schemas.microsoft.com/office/drawing/2014/main" id="{00000000-0008-0000-0800-00002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112</xdr:row>
          <xdr:rowOff>238125</xdr:rowOff>
        </xdr:from>
        <xdr:to>
          <xdr:col>14</xdr:col>
          <xdr:colOff>638175</xdr:colOff>
          <xdr:row>112</xdr:row>
          <xdr:rowOff>438150</xdr:rowOff>
        </xdr:to>
        <xdr:sp macro="" textlink="">
          <xdr:nvSpPr>
            <xdr:cNvPr id="35877" name="OptionButton37" hidden="1">
              <a:extLst>
                <a:ext uri="{63B3BB69-23CF-44E3-9099-C40C66FF867C}">
                  <a14:compatExt spid="_x0000_s35877"/>
                </a:ext>
                <a:ext uri="{FF2B5EF4-FFF2-40B4-BE49-F238E27FC236}">
                  <a16:creationId xmlns:a16="http://schemas.microsoft.com/office/drawing/2014/main" id="{00000000-0008-0000-0800-00002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116</xdr:row>
          <xdr:rowOff>152400</xdr:rowOff>
        </xdr:from>
        <xdr:to>
          <xdr:col>12</xdr:col>
          <xdr:colOff>638175</xdr:colOff>
          <xdr:row>116</xdr:row>
          <xdr:rowOff>352425</xdr:rowOff>
        </xdr:to>
        <xdr:sp macro="" textlink="">
          <xdr:nvSpPr>
            <xdr:cNvPr id="35878" name="OptionButton38" hidden="1">
              <a:extLst>
                <a:ext uri="{63B3BB69-23CF-44E3-9099-C40C66FF867C}">
                  <a14:compatExt spid="_x0000_s35878"/>
                </a:ext>
                <a:ext uri="{FF2B5EF4-FFF2-40B4-BE49-F238E27FC236}">
                  <a16:creationId xmlns:a16="http://schemas.microsoft.com/office/drawing/2014/main" id="{00000000-0008-0000-0800-00002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116</xdr:row>
          <xdr:rowOff>180975</xdr:rowOff>
        </xdr:from>
        <xdr:to>
          <xdr:col>13</xdr:col>
          <xdr:colOff>714375</xdr:colOff>
          <xdr:row>116</xdr:row>
          <xdr:rowOff>381000</xdr:rowOff>
        </xdr:to>
        <xdr:sp macro="" textlink="">
          <xdr:nvSpPr>
            <xdr:cNvPr id="35879" name="OptionButton39" hidden="1">
              <a:extLst>
                <a:ext uri="{63B3BB69-23CF-44E3-9099-C40C66FF867C}">
                  <a14:compatExt spid="_x0000_s35879"/>
                </a:ext>
                <a:ext uri="{FF2B5EF4-FFF2-40B4-BE49-F238E27FC236}">
                  <a16:creationId xmlns:a16="http://schemas.microsoft.com/office/drawing/2014/main" id="{00000000-0008-0000-0800-00002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116</xdr:row>
          <xdr:rowOff>152400</xdr:rowOff>
        </xdr:from>
        <xdr:to>
          <xdr:col>14</xdr:col>
          <xdr:colOff>638175</xdr:colOff>
          <xdr:row>116</xdr:row>
          <xdr:rowOff>352425</xdr:rowOff>
        </xdr:to>
        <xdr:sp macro="" textlink="">
          <xdr:nvSpPr>
            <xdr:cNvPr id="35880" name="OptionButton40" hidden="1">
              <a:extLst>
                <a:ext uri="{63B3BB69-23CF-44E3-9099-C40C66FF867C}">
                  <a14:compatExt spid="_x0000_s35880"/>
                </a:ext>
                <a:ext uri="{FF2B5EF4-FFF2-40B4-BE49-F238E27FC236}">
                  <a16:creationId xmlns:a16="http://schemas.microsoft.com/office/drawing/2014/main" id="{00000000-0008-0000-0800-00002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125</xdr:row>
          <xdr:rowOff>57150</xdr:rowOff>
        </xdr:from>
        <xdr:to>
          <xdr:col>12</xdr:col>
          <xdr:colOff>638175</xdr:colOff>
          <xdr:row>125</xdr:row>
          <xdr:rowOff>180975</xdr:rowOff>
        </xdr:to>
        <xdr:sp macro="" textlink="">
          <xdr:nvSpPr>
            <xdr:cNvPr id="35881" name="OptionButton41" hidden="1">
              <a:extLst>
                <a:ext uri="{63B3BB69-23CF-44E3-9099-C40C66FF867C}">
                  <a14:compatExt spid="_x0000_s35881"/>
                </a:ext>
                <a:ext uri="{FF2B5EF4-FFF2-40B4-BE49-F238E27FC236}">
                  <a16:creationId xmlns:a16="http://schemas.microsoft.com/office/drawing/2014/main" id="{00000000-0008-0000-0800-00002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125</xdr:row>
          <xdr:rowOff>57150</xdr:rowOff>
        </xdr:from>
        <xdr:to>
          <xdr:col>13</xdr:col>
          <xdr:colOff>638175</xdr:colOff>
          <xdr:row>125</xdr:row>
          <xdr:rowOff>180975</xdr:rowOff>
        </xdr:to>
        <xdr:sp macro="" textlink="">
          <xdr:nvSpPr>
            <xdr:cNvPr id="35882" name="OptionButton42" hidden="1">
              <a:extLst>
                <a:ext uri="{63B3BB69-23CF-44E3-9099-C40C66FF867C}">
                  <a14:compatExt spid="_x0000_s35882"/>
                </a:ext>
                <a:ext uri="{FF2B5EF4-FFF2-40B4-BE49-F238E27FC236}">
                  <a16:creationId xmlns:a16="http://schemas.microsoft.com/office/drawing/2014/main" id="{00000000-0008-0000-0800-00002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125</xdr:row>
          <xdr:rowOff>57150</xdr:rowOff>
        </xdr:from>
        <xdr:to>
          <xdr:col>14</xdr:col>
          <xdr:colOff>638175</xdr:colOff>
          <xdr:row>125</xdr:row>
          <xdr:rowOff>180975</xdr:rowOff>
        </xdr:to>
        <xdr:sp macro="" textlink="">
          <xdr:nvSpPr>
            <xdr:cNvPr id="35883" name="OptionButton43" hidden="1">
              <a:extLst>
                <a:ext uri="{63B3BB69-23CF-44E3-9099-C40C66FF867C}">
                  <a14:compatExt spid="_x0000_s35883"/>
                </a:ext>
                <a:ext uri="{FF2B5EF4-FFF2-40B4-BE49-F238E27FC236}">
                  <a16:creationId xmlns:a16="http://schemas.microsoft.com/office/drawing/2014/main" id="{00000000-0008-0000-0800-00002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126</xdr:row>
          <xdr:rowOff>57150</xdr:rowOff>
        </xdr:from>
        <xdr:to>
          <xdr:col>12</xdr:col>
          <xdr:colOff>638175</xdr:colOff>
          <xdr:row>126</xdr:row>
          <xdr:rowOff>180975</xdr:rowOff>
        </xdr:to>
        <xdr:sp macro="" textlink="">
          <xdr:nvSpPr>
            <xdr:cNvPr id="35884" name="OptionButton44" hidden="1">
              <a:extLst>
                <a:ext uri="{63B3BB69-23CF-44E3-9099-C40C66FF867C}">
                  <a14:compatExt spid="_x0000_s35884"/>
                </a:ext>
                <a:ext uri="{FF2B5EF4-FFF2-40B4-BE49-F238E27FC236}">
                  <a16:creationId xmlns:a16="http://schemas.microsoft.com/office/drawing/2014/main" id="{00000000-0008-0000-0800-00002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126</xdr:row>
          <xdr:rowOff>57150</xdr:rowOff>
        </xdr:from>
        <xdr:to>
          <xdr:col>13</xdr:col>
          <xdr:colOff>638175</xdr:colOff>
          <xdr:row>126</xdr:row>
          <xdr:rowOff>180975</xdr:rowOff>
        </xdr:to>
        <xdr:sp macro="" textlink="">
          <xdr:nvSpPr>
            <xdr:cNvPr id="35885" name="OptionButton45" hidden="1">
              <a:extLst>
                <a:ext uri="{63B3BB69-23CF-44E3-9099-C40C66FF867C}">
                  <a14:compatExt spid="_x0000_s35885"/>
                </a:ext>
                <a:ext uri="{FF2B5EF4-FFF2-40B4-BE49-F238E27FC236}">
                  <a16:creationId xmlns:a16="http://schemas.microsoft.com/office/drawing/2014/main" id="{00000000-0008-0000-0800-00002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126</xdr:row>
          <xdr:rowOff>57150</xdr:rowOff>
        </xdr:from>
        <xdr:to>
          <xdr:col>14</xdr:col>
          <xdr:colOff>638175</xdr:colOff>
          <xdr:row>126</xdr:row>
          <xdr:rowOff>180975</xdr:rowOff>
        </xdr:to>
        <xdr:sp macro="" textlink="">
          <xdr:nvSpPr>
            <xdr:cNvPr id="35886" name="OptionButton46" hidden="1">
              <a:extLst>
                <a:ext uri="{63B3BB69-23CF-44E3-9099-C40C66FF867C}">
                  <a14:compatExt spid="_x0000_s35886"/>
                </a:ext>
                <a:ext uri="{FF2B5EF4-FFF2-40B4-BE49-F238E27FC236}">
                  <a16:creationId xmlns:a16="http://schemas.microsoft.com/office/drawing/2014/main" id="{00000000-0008-0000-0800-00002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127</xdr:row>
          <xdr:rowOff>57150</xdr:rowOff>
        </xdr:from>
        <xdr:to>
          <xdr:col>12</xdr:col>
          <xdr:colOff>638175</xdr:colOff>
          <xdr:row>127</xdr:row>
          <xdr:rowOff>180975</xdr:rowOff>
        </xdr:to>
        <xdr:sp macro="" textlink="">
          <xdr:nvSpPr>
            <xdr:cNvPr id="35887" name="OptionButton47" hidden="1">
              <a:extLst>
                <a:ext uri="{63B3BB69-23CF-44E3-9099-C40C66FF867C}">
                  <a14:compatExt spid="_x0000_s35887"/>
                </a:ext>
                <a:ext uri="{FF2B5EF4-FFF2-40B4-BE49-F238E27FC236}">
                  <a16:creationId xmlns:a16="http://schemas.microsoft.com/office/drawing/2014/main" id="{00000000-0008-0000-0800-00002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127</xdr:row>
          <xdr:rowOff>57150</xdr:rowOff>
        </xdr:from>
        <xdr:to>
          <xdr:col>13</xdr:col>
          <xdr:colOff>638175</xdr:colOff>
          <xdr:row>127</xdr:row>
          <xdr:rowOff>180975</xdr:rowOff>
        </xdr:to>
        <xdr:sp macro="" textlink="">
          <xdr:nvSpPr>
            <xdr:cNvPr id="35888" name="OptionButton48" hidden="1">
              <a:extLst>
                <a:ext uri="{63B3BB69-23CF-44E3-9099-C40C66FF867C}">
                  <a14:compatExt spid="_x0000_s35888"/>
                </a:ext>
                <a:ext uri="{FF2B5EF4-FFF2-40B4-BE49-F238E27FC236}">
                  <a16:creationId xmlns:a16="http://schemas.microsoft.com/office/drawing/2014/main" id="{00000000-0008-0000-0800-00003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127</xdr:row>
          <xdr:rowOff>57150</xdr:rowOff>
        </xdr:from>
        <xdr:to>
          <xdr:col>14</xdr:col>
          <xdr:colOff>638175</xdr:colOff>
          <xdr:row>127</xdr:row>
          <xdr:rowOff>180975</xdr:rowOff>
        </xdr:to>
        <xdr:sp macro="" textlink="">
          <xdr:nvSpPr>
            <xdr:cNvPr id="35889" name="OptionButton49" hidden="1">
              <a:extLst>
                <a:ext uri="{63B3BB69-23CF-44E3-9099-C40C66FF867C}">
                  <a14:compatExt spid="_x0000_s35889"/>
                </a:ext>
                <a:ext uri="{FF2B5EF4-FFF2-40B4-BE49-F238E27FC236}">
                  <a16:creationId xmlns:a16="http://schemas.microsoft.com/office/drawing/2014/main" id="{00000000-0008-0000-0800-00003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128</xdr:row>
          <xdr:rowOff>57150</xdr:rowOff>
        </xdr:from>
        <xdr:to>
          <xdr:col>12</xdr:col>
          <xdr:colOff>638175</xdr:colOff>
          <xdr:row>128</xdr:row>
          <xdr:rowOff>180975</xdr:rowOff>
        </xdr:to>
        <xdr:sp macro="" textlink="">
          <xdr:nvSpPr>
            <xdr:cNvPr id="35890" name="OptionButton50" hidden="1">
              <a:extLst>
                <a:ext uri="{63B3BB69-23CF-44E3-9099-C40C66FF867C}">
                  <a14:compatExt spid="_x0000_s35890"/>
                </a:ext>
                <a:ext uri="{FF2B5EF4-FFF2-40B4-BE49-F238E27FC236}">
                  <a16:creationId xmlns:a16="http://schemas.microsoft.com/office/drawing/2014/main" id="{00000000-0008-0000-0800-00003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128</xdr:row>
          <xdr:rowOff>57150</xdr:rowOff>
        </xdr:from>
        <xdr:to>
          <xdr:col>13</xdr:col>
          <xdr:colOff>638175</xdr:colOff>
          <xdr:row>128</xdr:row>
          <xdr:rowOff>180975</xdr:rowOff>
        </xdr:to>
        <xdr:sp macro="" textlink="">
          <xdr:nvSpPr>
            <xdr:cNvPr id="35891" name="OptionButton51" hidden="1">
              <a:extLst>
                <a:ext uri="{63B3BB69-23CF-44E3-9099-C40C66FF867C}">
                  <a14:compatExt spid="_x0000_s35891"/>
                </a:ext>
                <a:ext uri="{FF2B5EF4-FFF2-40B4-BE49-F238E27FC236}">
                  <a16:creationId xmlns:a16="http://schemas.microsoft.com/office/drawing/2014/main" id="{00000000-0008-0000-0800-00003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128</xdr:row>
          <xdr:rowOff>57150</xdr:rowOff>
        </xdr:from>
        <xdr:to>
          <xdr:col>14</xdr:col>
          <xdr:colOff>638175</xdr:colOff>
          <xdr:row>128</xdr:row>
          <xdr:rowOff>180975</xdr:rowOff>
        </xdr:to>
        <xdr:sp macro="" textlink="">
          <xdr:nvSpPr>
            <xdr:cNvPr id="35892" name="OptionButton52" hidden="1">
              <a:extLst>
                <a:ext uri="{63B3BB69-23CF-44E3-9099-C40C66FF867C}">
                  <a14:compatExt spid="_x0000_s35892"/>
                </a:ext>
                <a:ext uri="{FF2B5EF4-FFF2-40B4-BE49-F238E27FC236}">
                  <a16:creationId xmlns:a16="http://schemas.microsoft.com/office/drawing/2014/main" id="{00000000-0008-0000-0800-00003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179</xdr:row>
          <xdr:rowOff>57150</xdr:rowOff>
        </xdr:from>
        <xdr:to>
          <xdr:col>10</xdr:col>
          <xdr:colOff>342900</xdr:colOff>
          <xdr:row>179</xdr:row>
          <xdr:rowOff>209550</xdr:rowOff>
        </xdr:to>
        <xdr:sp macro="" textlink="">
          <xdr:nvSpPr>
            <xdr:cNvPr id="35893" name="OptionButton53" hidden="1">
              <a:extLst>
                <a:ext uri="{63B3BB69-23CF-44E3-9099-C40C66FF867C}">
                  <a14:compatExt spid="_x0000_s35893"/>
                </a:ext>
                <a:ext uri="{FF2B5EF4-FFF2-40B4-BE49-F238E27FC236}">
                  <a16:creationId xmlns:a16="http://schemas.microsoft.com/office/drawing/2014/main" id="{00000000-0008-0000-0800-00003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179</xdr:row>
          <xdr:rowOff>57150</xdr:rowOff>
        </xdr:from>
        <xdr:to>
          <xdr:col>12</xdr:col>
          <xdr:colOff>685800</xdr:colOff>
          <xdr:row>179</xdr:row>
          <xdr:rowOff>209550</xdr:rowOff>
        </xdr:to>
        <xdr:sp macro="" textlink="">
          <xdr:nvSpPr>
            <xdr:cNvPr id="35894" name="OptionButton54" hidden="1">
              <a:extLst>
                <a:ext uri="{63B3BB69-23CF-44E3-9099-C40C66FF867C}">
                  <a14:compatExt spid="_x0000_s35894"/>
                </a:ext>
                <a:ext uri="{FF2B5EF4-FFF2-40B4-BE49-F238E27FC236}">
                  <a16:creationId xmlns:a16="http://schemas.microsoft.com/office/drawing/2014/main" id="{00000000-0008-0000-0800-00003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179</xdr:row>
          <xdr:rowOff>47625</xdr:rowOff>
        </xdr:from>
        <xdr:to>
          <xdr:col>13</xdr:col>
          <xdr:colOff>657225</xdr:colOff>
          <xdr:row>179</xdr:row>
          <xdr:rowOff>190500</xdr:rowOff>
        </xdr:to>
        <xdr:sp macro="" textlink="">
          <xdr:nvSpPr>
            <xdr:cNvPr id="35895" name="OptionButton55" hidden="1">
              <a:extLst>
                <a:ext uri="{63B3BB69-23CF-44E3-9099-C40C66FF867C}">
                  <a14:compatExt spid="_x0000_s35895"/>
                </a:ext>
                <a:ext uri="{FF2B5EF4-FFF2-40B4-BE49-F238E27FC236}">
                  <a16:creationId xmlns:a16="http://schemas.microsoft.com/office/drawing/2014/main" id="{00000000-0008-0000-0800-00003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180</xdr:row>
          <xdr:rowOff>57150</xdr:rowOff>
        </xdr:from>
        <xdr:to>
          <xdr:col>10</xdr:col>
          <xdr:colOff>342900</xdr:colOff>
          <xdr:row>180</xdr:row>
          <xdr:rowOff>209550</xdr:rowOff>
        </xdr:to>
        <xdr:sp macro="" textlink="">
          <xdr:nvSpPr>
            <xdr:cNvPr id="35896" name="OptionButton56" hidden="1">
              <a:extLst>
                <a:ext uri="{63B3BB69-23CF-44E3-9099-C40C66FF867C}">
                  <a14:compatExt spid="_x0000_s35896"/>
                </a:ext>
                <a:ext uri="{FF2B5EF4-FFF2-40B4-BE49-F238E27FC236}">
                  <a16:creationId xmlns:a16="http://schemas.microsoft.com/office/drawing/2014/main" id="{00000000-0008-0000-0800-00003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180</xdr:row>
          <xdr:rowOff>38100</xdr:rowOff>
        </xdr:from>
        <xdr:to>
          <xdr:col>12</xdr:col>
          <xdr:colOff>685800</xdr:colOff>
          <xdr:row>180</xdr:row>
          <xdr:rowOff>180975</xdr:rowOff>
        </xdr:to>
        <xdr:sp macro="" textlink="">
          <xdr:nvSpPr>
            <xdr:cNvPr id="35897" name="OptionButton57" hidden="1">
              <a:extLst>
                <a:ext uri="{63B3BB69-23CF-44E3-9099-C40C66FF867C}">
                  <a14:compatExt spid="_x0000_s35897"/>
                </a:ext>
                <a:ext uri="{FF2B5EF4-FFF2-40B4-BE49-F238E27FC236}">
                  <a16:creationId xmlns:a16="http://schemas.microsoft.com/office/drawing/2014/main" id="{00000000-0008-0000-0800-00003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504825</xdr:colOff>
          <xdr:row>180</xdr:row>
          <xdr:rowOff>47625</xdr:rowOff>
        </xdr:from>
        <xdr:to>
          <xdr:col>13</xdr:col>
          <xdr:colOff>666750</xdr:colOff>
          <xdr:row>180</xdr:row>
          <xdr:rowOff>190500</xdr:rowOff>
        </xdr:to>
        <xdr:sp macro="" textlink="">
          <xdr:nvSpPr>
            <xdr:cNvPr id="35898" name="OptionButton58" hidden="1">
              <a:extLst>
                <a:ext uri="{63B3BB69-23CF-44E3-9099-C40C66FF867C}">
                  <a14:compatExt spid="_x0000_s35898"/>
                </a:ext>
                <a:ext uri="{FF2B5EF4-FFF2-40B4-BE49-F238E27FC236}">
                  <a16:creationId xmlns:a16="http://schemas.microsoft.com/office/drawing/2014/main" id="{00000000-0008-0000-0800-00003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181</xdr:row>
          <xdr:rowOff>57150</xdr:rowOff>
        </xdr:from>
        <xdr:to>
          <xdr:col>10</xdr:col>
          <xdr:colOff>333375</xdr:colOff>
          <xdr:row>181</xdr:row>
          <xdr:rowOff>209550</xdr:rowOff>
        </xdr:to>
        <xdr:sp macro="" textlink="">
          <xdr:nvSpPr>
            <xdr:cNvPr id="35899" name="OptionButton59" hidden="1">
              <a:extLst>
                <a:ext uri="{63B3BB69-23CF-44E3-9099-C40C66FF867C}">
                  <a14:compatExt spid="_x0000_s35899"/>
                </a:ext>
                <a:ext uri="{FF2B5EF4-FFF2-40B4-BE49-F238E27FC236}">
                  <a16:creationId xmlns:a16="http://schemas.microsoft.com/office/drawing/2014/main" id="{00000000-0008-0000-0800-00003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533400</xdr:colOff>
          <xdr:row>181</xdr:row>
          <xdr:rowOff>47625</xdr:rowOff>
        </xdr:from>
        <xdr:to>
          <xdr:col>12</xdr:col>
          <xdr:colOff>695325</xdr:colOff>
          <xdr:row>181</xdr:row>
          <xdr:rowOff>190500</xdr:rowOff>
        </xdr:to>
        <xdr:sp macro="" textlink="">
          <xdr:nvSpPr>
            <xdr:cNvPr id="35900" name="OptionButton60" hidden="1">
              <a:extLst>
                <a:ext uri="{63B3BB69-23CF-44E3-9099-C40C66FF867C}">
                  <a14:compatExt spid="_x0000_s35900"/>
                </a:ext>
                <a:ext uri="{FF2B5EF4-FFF2-40B4-BE49-F238E27FC236}">
                  <a16:creationId xmlns:a16="http://schemas.microsoft.com/office/drawing/2014/main" id="{00000000-0008-0000-0800-00003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181</xdr:row>
          <xdr:rowOff>47625</xdr:rowOff>
        </xdr:from>
        <xdr:to>
          <xdr:col>13</xdr:col>
          <xdr:colOff>657225</xdr:colOff>
          <xdr:row>181</xdr:row>
          <xdr:rowOff>190500</xdr:rowOff>
        </xdr:to>
        <xdr:sp macro="" textlink="">
          <xdr:nvSpPr>
            <xdr:cNvPr id="35901" name="OptionButton61" hidden="1">
              <a:extLst>
                <a:ext uri="{63B3BB69-23CF-44E3-9099-C40C66FF867C}">
                  <a14:compatExt spid="_x0000_s35901"/>
                </a:ext>
                <a:ext uri="{FF2B5EF4-FFF2-40B4-BE49-F238E27FC236}">
                  <a16:creationId xmlns:a16="http://schemas.microsoft.com/office/drawing/2014/main" id="{00000000-0008-0000-0800-00003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192</xdr:row>
          <xdr:rowOff>57150</xdr:rowOff>
        </xdr:from>
        <xdr:to>
          <xdr:col>13</xdr:col>
          <xdr:colOff>647700</xdr:colOff>
          <xdr:row>192</xdr:row>
          <xdr:rowOff>219075</xdr:rowOff>
        </xdr:to>
        <xdr:sp macro="" textlink="">
          <xdr:nvSpPr>
            <xdr:cNvPr id="35902" name="OptionButton62" hidden="1">
              <a:extLst>
                <a:ext uri="{63B3BB69-23CF-44E3-9099-C40C66FF867C}">
                  <a14:compatExt spid="_x0000_s35902"/>
                </a:ext>
                <a:ext uri="{FF2B5EF4-FFF2-40B4-BE49-F238E27FC236}">
                  <a16:creationId xmlns:a16="http://schemas.microsoft.com/office/drawing/2014/main" id="{00000000-0008-0000-0800-00003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192</xdr:row>
          <xdr:rowOff>57150</xdr:rowOff>
        </xdr:from>
        <xdr:to>
          <xdr:col>14</xdr:col>
          <xdr:colOff>647700</xdr:colOff>
          <xdr:row>192</xdr:row>
          <xdr:rowOff>219075</xdr:rowOff>
        </xdr:to>
        <xdr:sp macro="" textlink="">
          <xdr:nvSpPr>
            <xdr:cNvPr id="35903" name="OptionButton63" hidden="1">
              <a:extLst>
                <a:ext uri="{63B3BB69-23CF-44E3-9099-C40C66FF867C}">
                  <a14:compatExt spid="_x0000_s35903"/>
                </a:ext>
                <a:ext uri="{FF2B5EF4-FFF2-40B4-BE49-F238E27FC236}">
                  <a16:creationId xmlns:a16="http://schemas.microsoft.com/office/drawing/2014/main" id="{00000000-0008-0000-0800-00003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192</xdr:row>
          <xdr:rowOff>57150</xdr:rowOff>
        </xdr:from>
        <xdr:to>
          <xdr:col>15</xdr:col>
          <xdr:colOff>647700</xdr:colOff>
          <xdr:row>192</xdr:row>
          <xdr:rowOff>219075</xdr:rowOff>
        </xdr:to>
        <xdr:sp macro="" textlink="">
          <xdr:nvSpPr>
            <xdr:cNvPr id="35904" name="OptionButton64" hidden="1">
              <a:extLst>
                <a:ext uri="{63B3BB69-23CF-44E3-9099-C40C66FF867C}">
                  <a14:compatExt spid="_x0000_s35904"/>
                </a:ext>
                <a:ext uri="{FF2B5EF4-FFF2-40B4-BE49-F238E27FC236}">
                  <a16:creationId xmlns:a16="http://schemas.microsoft.com/office/drawing/2014/main" id="{00000000-0008-0000-0800-00004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194</xdr:row>
          <xdr:rowOff>57150</xdr:rowOff>
        </xdr:from>
        <xdr:to>
          <xdr:col>13</xdr:col>
          <xdr:colOff>647700</xdr:colOff>
          <xdr:row>194</xdr:row>
          <xdr:rowOff>219075</xdr:rowOff>
        </xdr:to>
        <xdr:sp macro="" textlink="">
          <xdr:nvSpPr>
            <xdr:cNvPr id="35905" name="OptionButton68" hidden="1">
              <a:extLst>
                <a:ext uri="{63B3BB69-23CF-44E3-9099-C40C66FF867C}">
                  <a14:compatExt spid="_x0000_s35905"/>
                </a:ext>
                <a:ext uri="{FF2B5EF4-FFF2-40B4-BE49-F238E27FC236}">
                  <a16:creationId xmlns:a16="http://schemas.microsoft.com/office/drawing/2014/main" id="{00000000-0008-0000-0800-00004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194</xdr:row>
          <xdr:rowOff>57150</xdr:rowOff>
        </xdr:from>
        <xdr:to>
          <xdr:col>14</xdr:col>
          <xdr:colOff>647700</xdr:colOff>
          <xdr:row>194</xdr:row>
          <xdr:rowOff>219075</xdr:rowOff>
        </xdr:to>
        <xdr:sp macro="" textlink="">
          <xdr:nvSpPr>
            <xdr:cNvPr id="35906" name="OptionButton69" hidden="1">
              <a:extLst>
                <a:ext uri="{63B3BB69-23CF-44E3-9099-C40C66FF867C}">
                  <a14:compatExt spid="_x0000_s35906"/>
                </a:ext>
                <a:ext uri="{FF2B5EF4-FFF2-40B4-BE49-F238E27FC236}">
                  <a16:creationId xmlns:a16="http://schemas.microsoft.com/office/drawing/2014/main" id="{00000000-0008-0000-0800-00004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194</xdr:row>
          <xdr:rowOff>57150</xdr:rowOff>
        </xdr:from>
        <xdr:to>
          <xdr:col>15</xdr:col>
          <xdr:colOff>647700</xdr:colOff>
          <xdr:row>194</xdr:row>
          <xdr:rowOff>219075</xdr:rowOff>
        </xdr:to>
        <xdr:sp macro="" textlink="">
          <xdr:nvSpPr>
            <xdr:cNvPr id="35907" name="OptionButton70" hidden="1">
              <a:extLst>
                <a:ext uri="{63B3BB69-23CF-44E3-9099-C40C66FF867C}">
                  <a14:compatExt spid="_x0000_s35907"/>
                </a:ext>
                <a:ext uri="{FF2B5EF4-FFF2-40B4-BE49-F238E27FC236}">
                  <a16:creationId xmlns:a16="http://schemas.microsoft.com/office/drawing/2014/main" id="{00000000-0008-0000-0800-00004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195</xdr:row>
          <xdr:rowOff>47625</xdr:rowOff>
        </xdr:from>
        <xdr:to>
          <xdr:col>13</xdr:col>
          <xdr:colOff>647700</xdr:colOff>
          <xdr:row>195</xdr:row>
          <xdr:rowOff>209550</xdr:rowOff>
        </xdr:to>
        <xdr:sp macro="" textlink="">
          <xdr:nvSpPr>
            <xdr:cNvPr id="35908" name="OptionButton71" hidden="1">
              <a:extLst>
                <a:ext uri="{63B3BB69-23CF-44E3-9099-C40C66FF867C}">
                  <a14:compatExt spid="_x0000_s35908"/>
                </a:ext>
                <a:ext uri="{FF2B5EF4-FFF2-40B4-BE49-F238E27FC236}">
                  <a16:creationId xmlns:a16="http://schemas.microsoft.com/office/drawing/2014/main" id="{00000000-0008-0000-0800-00004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197</xdr:row>
          <xdr:rowOff>85725</xdr:rowOff>
        </xdr:from>
        <xdr:to>
          <xdr:col>13</xdr:col>
          <xdr:colOff>647700</xdr:colOff>
          <xdr:row>197</xdr:row>
          <xdr:rowOff>247650</xdr:rowOff>
        </xdr:to>
        <xdr:sp macro="" textlink="">
          <xdr:nvSpPr>
            <xdr:cNvPr id="35909" name="OptionButton77" hidden="1">
              <a:extLst>
                <a:ext uri="{63B3BB69-23CF-44E3-9099-C40C66FF867C}">
                  <a14:compatExt spid="_x0000_s35909"/>
                </a:ext>
                <a:ext uri="{FF2B5EF4-FFF2-40B4-BE49-F238E27FC236}">
                  <a16:creationId xmlns:a16="http://schemas.microsoft.com/office/drawing/2014/main" id="{00000000-0008-0000-0800-00004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197</xdr:row>
          <xdr:rowOff>85725</xdr:rowOff>
        </xdr:from>
        <xdr:to>
          <xdr:col>14</xdr:col>
          <xdr:colOff>647700</xdr:colOff>
          <xdr:row>197</xdr:row>
          <xdr:rowOff>247650</xdr:rowOff>
        </xdr:to>
        <xdr:sp macro="" textlink="">
          <xdr:nvSpPr>
            <xdr:cNvPr id="35910" name="OptionButton78" hidden="1">
              <a:extLst>
                <a:ext uri="{63B3BB69-23CF-44E3-9099-C40C66FF867C}">
                  <a14:compatExt spid="_x0000_s35910"/>
                </a:ext>
                <a:ext uri="{FF2B5EF4-FFF2-40B4-BE49-F238E27FC236}">
                  <a16:creationId xmlns:a16="http://schemas.microsoft.com/office/drawing/2014/main" id="{00000000-0008-0000-0800-00004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197</xdr:row>
          <xdr:rowOff>85725</xdr:rowOff>
        </xdr:from>
        <xdr:to>
          <xdr:col>15</xdr:col>
          <xdr:colOff>647700</xdr:colOff>
          <xdr:row>197</xdr:row>
          <xdr:rowOff>247650</xdr:rowOff>
        </xdr:to>
        <xdr:sp macro="" textlink="">
          <xdr:nvSpPr>
            <xdr:cNvPr id="35911" name="OptionButton79" hidden="1">
              <a:extLst>
                <a:ext uri="{63B3BB69-23CF-44E3-9099-C40C66FF867C}">
                  <a14:compatExt spid="_x0000_s35911"/>
                </a:ext>
                <a:ext uri="{FF2B5EF4-FFF2-40B4-BE49-F238E27FC236}">
                  <a16:creationId xmlns:a16="http://schemas.microsoft.com/office/drawing/2014/main" id="{00000000-0008-0000-0800-00004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198</xdr:row>
          <xdr:rowOff>85725</xdr:rowOff>
        </xdr:from>
        <xdr:to>
          <xdr:col>13</xdr:col>
          <xdr:colOff>647700</xdr:colOff>
          <xdr:row>198</xdr:row>
          <xdr:rowOff>247650</xdr:rowOff>
        </xdr:to>
        <xdr:sp macro="" textlink="">
          <xdr:nvSpPr>
            <xdr:cNvPr id="35912" name="OptionButton80" hidden="1">
              <a:extLst>
                <a:ext uri="{63B3BB69-23CF-44E3-9099-C40C66FF867C}">
                  <a14:compatExt spid="_x0000_s35912"/>
                </a:ext>
                <a:ext uri="{FF2B5EF4-FFF2-40B4-BE49-F238E27FC236}">
                  <a16:creationId xmlns:a16="http://schemas.microsoft.com/office/drawing/2014/main" id="{00000000-0008-0000-0800-00004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198</xdr:row>
          <xdr:rowOff>85725</xdr:rowOff>
        </xdr:from>
        <xdr:to>
          <xdr:col>14</xdr:col>
          <xdr:colOff>647700</xdr:colOff>
          <xdr:row>198</xdr:row>
          <xdr:rowOff>247650</xdr:rowOff>
        </xdr:to>
        <xdr:sp macro="" textlink="">
          <xdr:nvSpPr>
            <xdr:cNvPr id="35913" name="OptionButton81" hidden="1">
              <a:extLst>
                <a:ext uri="{63B3BB69-23CF-44E3-9099-C40C66FF867C}">
                  <a14:compatExt spid="_x0000_s35913"/>
                </a:ext>
                <a:ext uri="{FF2B5EF4-FFF2-40B4-BE49-F238E27FC236}">
                  <a16:creationId xmlns:a16="http://schemas.microsoft.com/office/drawing/2014/main" id="{00000000-0008-0000-0800-00004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198</xdr:row>
          <xdr:rowOff>85725</xdr:rowOff>
        </xdr:from>
        <xdr:to>
          <xdr:col>15</xdr:col>
          <xdr:colOff>647700</xdr:colOff>
          <xdr:row>198</xdr:row>
          <xdr:rowOff>247650</xdr:rowOff>
        </xdr:to>
        <xdr:sp macro="" textlink="">
          <xdr:nvSpPr>
            <xdr:cNvPr id="35914" name="OptionButton82" hidden="1">
              <a:extLst>
                <a:ext uri="{63B3BB69-23CF-44E3-9099-C40C66FF867C}">
                  <a14:compatExt spid="_x0000_s35914"/>
                </a:ext>
                <a:ext uri="{FF2B5EF4-FFF2-40B4-BE49-F238E27FC236}">
                  <a16:creationId xmlns:a16="http://schemas.microsoft.com/office/drawing/2014/main" id="{00000000-0008-0000-0800-00004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199</xdr:row>
          <xdr:rowOff>85725</xdr:rowOff>
        </xdr:from>
        <xdr:to>
          <xdr:col>13</xdr:col>
          <xdr:colOff>647700</xdr:colOff>
          <xdr:row>199</xdr:row>
          <xdr:rowOff>247650</xdr:rowOff>
        </xdr:to>
        <xdr:sp macro="" textlink="">
          <xdr:nvSpPr>
            <xdr:cNvPr id="35915" name="OptionButton83" hidden="1">
              <a:extLst>
                <a:ext uri="{63B3BB69-23CF-44E3-9099-C40C66FF867C}">
                  <a14:compatExt spid="_x0000_s35915"/>
                </a:ext>
                <a:ext uri="{FF2B5EF4-FFF2-40B4-BE49-F238E27FC236}">
                  <a16:creationId xmlns:a16="http://schemas.microsoft.com/office/drawing/2014/main" id="{00000000-0008-0000-0800-00004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199</xdr:row>
          <xdr:rowOff>85725</xdr:rowOff>
        </xdr:from>
        <xdr:to>
          <xdr:col>14</xdr:col>
          <xdr:colOff>647700</xdr:colOff>
          <xdr:row>199</xdr:row>
          <xdr:rowOff>247650</xdr:rowOff>
        </xdr:to>
        <xdr:sp macro="" textlink="">
          <xdr:nvSpPr>
            <xdr:cNvPr id="35916" name="OptionButton84" hidden="1">
              <a:extLst>
                <a:ext uri="{63B3BB69-23CF-44E3-9099-C40C66FF867C}">
                  <a14:compatExt spid="_x0000_s35916"/>
                </a:ext>
                <a:ext uri="{FF2B5EF4-FFF2-40B4-BE49-F238E27FC236}">
                  <a16:creationId xmlns:a16="http://schemas.microsoft.com/office/drawing/2014/main" id="{00000000-0008-0000-0800-00004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199</xdr:row>
          <xdr:rowOff>85725</xdr:rowOff>
        </xdr:from>
        <xdr:to>
          <xdr:col>15</xdr:col>
          <xdr:colOff>647700</xdr:colOff>
          <xdr:row>199</xdr:row>
          <xdr:rowOff>247650</xdr:rowOff>
        </xdr:to>
        <xdr:sp macro="" textlink="">
          <xdr:nvSpPr>
            <xdr:cNvPr id="35917" name="OptionButton85" hidden="1">
              <a:extLst>
                <a:ext uri="{63B3BB69-23CF-44E3-9099-C40C66FF867C}">
                  <a14:compatExt spid="_x0000_s35917"/>
                </a:ext>
                <a:ext uri="{FF2B5EF4-FFF2-40B4-BE49-F238E27FC236}">
                  <a16:creationId xmlns:a16="http://schemas.microsoft.com/office/drawing/2014/main" id="{00000000-0008-0000-0800-00004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200</xdr:row>
          <xdr:rowOff>85725</xdr:rowOff>
        </xdr:from>
        <xdr:to>
          <xdr:col>13</xdr:col>
          <xdr:colOff>647700</xdr:colOff>
          <xdr:row>200</xdr:row>
          <xdr:rowOff>247650</xdr:rowOff>
        </xdr:to>
        <xdr:sp macro="" textlink="">
          <xdr:nvSpPr>
            <xdr:cNvPr id="35918" name="OptionButton86" hidden="1">
              <a:extLst>
                <a:ext uri="{63B3BB69-23CF-44E3-9099-C40C66FF867C}">
                  <a14:compatExt spid="_x0000_s35918"/>
                </a:ext>
                <a:ext uri="{FF2B5EF4-FFF2-40B4-BE49-F238E27FC236}">
                  <a16:creationId xmlns:a16="http://schemas.microsoft.com/office/drawing/2014/main" id="{00000000-0008-0000-0800-00004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200</xdr:row>
          <xdr:rowOff>85725</xdr:rowOff>
        </xdr:from>
        <xdr:to>
          <xdr:col>14</xdr:col>
          <xdr:colOff>647700</xdr:colOff>
          <xdr:row>200</xdr:row>
          <xdr:rowOff>247650</xdr:rowOff>
        </xdr:to>
        <xdr:sp macro="" textlink="">
          <xdr:nvSpPr>
            <xdr:cNvPr id="35919" name="OptionButton87" hidden="1">
              <a:extLst>
                <a:ext uri="{63B3BB69-23CF-44E3-9099-C40C66FF867C}">
                  <a14:compatExt spid="_x0000_s35919"/>
                </a:ext>
                <a:ext uri="{FF2B5EF4-FFF2-40B4-BE49-F238E27FC236}">
                  <a16:creationId xmlns:a16="http://schemas.microsoft.com/office/drawing/2014/main" id="{00000000-0008-0000-0800-00004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200</xdr:row>
          <xdr:rowOff>85725</xdr:rowOff>
        </xdr:from>
        <xdr:to>
          <xdr:col>15</xdr:col>
          <xdr:colOff>647700</xdr:colOff>
          <xdr:row>200</xdr:row>
          <xdr:rowOff>247650</xdr:rowOff>
        </xdr:to>
        <xdr:sp macro="" textlink="">
          <xdr:nvSpPr>
            <xdr:cNvPr id="35920" name="OptionButton88" hidden="1">
              <a:extLst>
                <a:ext uri="{63B3BB69-23CF-44E3-9099-C40C66FF867C}">
                  <a14:compatExt spid="_x0000_s35920"/>
                </a:ext>
                <a:ext uri="{FF2B5EF4-FFF2-40B4-BE49-F238E27FC236}">
                  <a16:creationId xmlns:a16="http://schemas.microsoft.com/office/drawing/2014/main" id="{00000000-0008-0000-0800-00005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201</xdr:row>
          <xdr:rowOff>85725</xdr:rowOff>
        </xdr:from>
        <xdr:to>
          <xdr:col>13</xdr:col>
          <xdr:colOff>638175</xdr:colOff>
          <xdr:row>201</xdr:row>
          <xdr:rowOff>247650</xdr:rowOff>
        </xdr:to>
        <xdr:sp macro="" textlink="">
          <xdr:nvSpPr>
            <xdr:cNvPr id="35921" name="OptionButton89" hidden="1">
              <a:extLst>
                <a:ext uri="{63B3BB69-23CF-44E3-9099-C40C66FF867C}">
                  <a14:compatExt spid="_x0000_s35921"/>
                </a:ext>
                <a:ext uri="{FF2B5EF4-FFF2-40B4-BE49-F238E27FC236}">
                  <a16:creationId xmlns:a16="http://schemas.microsoft.com/office/drawing/2014/main" id="{00000000-0008-0000-0800-00005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201</xdr:row>
          <xdr:rowOff>85725</xdr:rowOff>
        </xdr:from>
        <xdr:to>
          <xdr:col>14</xdr:col>
          <xdr:colOff>638175</xdr:colOff>
          <xdr:row>201</xdr:row>
          <xdr:rowOff>247650</xdr:rowOff>
        </xdr:to>
        <xdr:sp macro="" textlink="">
          <xdr:nvSpPr>
            <xdr:cNvPr id="35922" name="OptionButton90" hidden="1">
              <a:extLst>
                <a:ext uri="{63B3BB69-23CF-44E3-9099-C40C66FF867C}">
                  <a14:compatExt spid="_x0000_s35922"/>
                </a:ext>
                <a:ext uri="{FF2B5EF4-FFF2-40B4-BE49-F238E27FC236}">
                  <a16:creationId xmlns:a16="http://schemas.microsoft.com/office/drawing/2014/main" id="{00000000-0008-0000-0800-00005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201</xdr:row>
          <xdr:rowOff>85725</xdr:rowOff>
        </xdr:from>
        <xdr:to>
          <xdr:col>15</xdr:col>
          <xdr:colOff>638175</xdr:colOff>
          <xdr:row>201</xdr:row>
          <xdr:rowOff>247650</xdr:rowOff>
        </xdr:to>
        <xdr:sp macro="" textlink="">
          <xdr:nvSpPr>
            <xdr:cNvPr id="35923" name="OptionButton91" hidden="1">
              <a:extLst>
                <a:ext uri="{63B3BB69-23CF-44E3-9099-C40C66FF867C}">
                  <a14:compatExt spid="_x0000_s35923"/>
                </a:ext>
                <a:ext uri="{FF2B5EF4-FFF2-40B4-BE49-F238E27FC236}">
                  <a16:creationId xmlns:a16="http://schemas.microsoft.com/office/drawing/2014/main" id="{00000000-0008-0000-0800-00005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202</xdr:row>
          <xdr:rowOff>85725</xdr:rowOff>
        </xdr:from>
        <xdr:to>
          <xdr:col>13</xdr:col>
          <xdr:colOff>638175</xdr:colOff>
          <xdr:row>202</xdr:row>
          <xdr:rowOff>247650</xdr:rowOff>
        </xdr:to>
        <xdr:sp macro="" textlink="">
          <xdr:nvSpPr>
            <xdr:cNvPr id="35924" name="OptionButton92" hidden="1">
              <a:extLst>
                <a:ext uri="{63B3BB69-23CF-44E3-9099-C40C66FF867C}">
                  <a14:compatExt spid="_x0000_s35924"/>
                </a:ext>
                <a:ext uri="{FF2B5EF4-FFF2-40B4-BE49-F238E27FC236}">
                  <a16:creationId xmlns:a16="http://schemas.microsoft.com/office/drawing/2014/main" id="{00000000-0008-0000-0800-00005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202</xdr:row>
          <xdr:rowOff>85725</xdr:rowOff>
        </xdr:from>
        <xdr:to>
          <xdr:col>14</xdr:col>
          <xdr:colOff>638175</xdr:colOff>
          <xdr:row>202</xdr:row>
          <xdr:rowOff>247650</xdr:rowOff>
        </xdr:to>
        <xdr:sp macro="" textlink="">
          <xdr:nvSpPr>
            <xdr:cNvPr id="35925" name="OptionButton93" hidden="1">
              <a:extLst>
                <a:ext uri="{63B3BB69-23CF-44E3-9099-C40C66FF867C}">
                  <a14:compatExt spid="_x0000_s35925"/>
                </a:ext>
                <a:ext uri="{FF2B5EF4-FFF2-40B4-BE49-F238E27FC236}">
                  <a16:creationId xmlns:a16="http://schemas.microsoft.com/office/drawing/2014/main" id="{00000000-0008-0000-0800-00005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202</xdr:row>
          <xdr:rowOff>85725</xdr:rowOff>
        </xdr:from>
        <xdr:to>
          <xdr:col>15</xdr:col>
          <xdr:colOff>638175</xdr:colOff>
          <xdr:row>202</xdr:row>
          <xdr:rowOff>247650</xdr:rowOff>
        </xdr:to>
        <xdr:sp macro="" textlink="">
          <xdr:nvSpPr>
            <xdr:cNvPr id="35926" name="OptionButton94" hidden="1">
              <a:extLst>
                <a:ext uri="{63B3BB69-23CF-44E3-9099-C40C66FF867C}">
                  <a14:compatExt spid="_x0000_s35926"/>
                </a:ext>
                <a:ext uri="{FF2B5EF4-FFF2-40B4-BE49-F238E27FC236}">
                  <a16:creationId xmlns:a16="http://schemas.microsoft.com/office/drawing/2014/main" id="{00000000-0008-0000-0800-00005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203</xdr:row>
          <xdr:rowOff>85725</xdr:rowOff>
        </xdr:from>
        <xdr:to>
          <xdr:col>13</xdr:col>
          <xdr:colOff>638175</xdr:colOff>
          <xdr:row>203</xdr:row>
          <xdr:rowOff>247650</xdr:rowOff>
        </xdr:to>
        <xdr:sp macro="" textlink="">
          <xdr:nvSpPr>
            <xdr:cNvPr id="35927" name="OptionButton95" hidden="1">
              <a:extLst>
                <a:ext uri="{63B3BB69-23CF-44E3-9099-C40C66FF867C}">
                  <a14:compatExt spid="_x0000_s35927"/>
                </a:ext>
                <a:ext uri="{FF2B5EF4-FFF2-40B4-BE49-F238E27FC236}">
                  <a16:creationId xmlns:a16="http://schemas.microsoft.com/office/drawing/2014/main" id="{00000000-0008-0000-0800-00005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203</xdr:row>
          <xdr:rowOff>85725</xdr:rowOff>
        </xdr:from>
        <xdr:to>
          <xdr:col>14</xdr:col>
          <xdr:colOff>638175</xdr:colOff>
          <xdr:row>203</xdr:row>
          <xdr:rowOff>247650</xdr:rowOff>
        </xdr:to>
        <xdr:sp macro="" textlink="">
          <xdr:nvSpPr>
            <xdr:cNvPr id="35928" name="OptionButton96" hidden="1">
              <a:extLst>
                <a:ext uri="{63B3BB69-23CF-44E3-9099-C40C66FF867C}">
                  <a14:compatExt spid="_x0000_s35928"/>
                </a:ext>
                <a:ext uri="{FF2B5EF4-FFF2-40B4-BE49-F238E27FC236}">
                  <a16:creationId xmlns:a16="http://schemas.microsoft.com/office/drawing/2014/main" id="{00000000-0008-0000-0800-00005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203</xdr:row>
          <xdr:rowOff>85725</xdr:rowOff>
        </xdr:from>
        <xdr:to>
          <xdr:col>15</xdr:col>
          <xdr:colOff>638175</xdr:colOff>
          <xdr:row>203</xdr:row>
          <xdr:rowOff>247650</xdr:rowOff>
        </xdr:to>
        <xdr:sp macro="" textlink="">
          <xdr:nvSpPr>
            <xdr:cNvPr id="35929" name="OptionButton97" hidden="1">
              <a:extLst>
                <a:ext uri="{63B3BB69-23CF-44E3-9099-C40C66FF867C}">
                  <a14:compatExt spid="_x0000_s35929"/>
                </a:ext>
                <a:ext uri="{FF2B5EF4-FFF2-40B4-BE49-F238E27FC236}">
                  <a16:creationId xmlns:a16="http://schemas.microsoft.com/office/drawing/2014/main" id="{00000000-0008-0000-0800-00005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204</xdr:row>
          <xdr:rowOff>85725</xdr:rowOff>
        </xdr:from>
        <xdr:to>
          <xdr:col>13</xdr:col>
          <xdr:colOff>638175</xdr:colOff>
          <xdr:row>204</xdr:row>
          <xdr:rowOff>247650</xdr:rowOff>
        </xdr:to>
        <xdr:sp macro="" textlink="">
          <xdr:nvSpPr>
            <xdr:cNvPr id="35930" name="OptionButton98" hidden="1">
              <a:extLst>
                <a:ext uri="{63B3BB69-23CF-44E3-9099-C40C66FF867C}">
                  <a14:compatExt spid="_x0000_s35930"/>
                </a:ext>
                <a:ext uri="{FF2B5EF4-FFF2-40B4-BE49-F238E27FC236}">
                  <a16:creationId xmlns:a16="http://schemas.microsoft.com/office/drawing/2014/main" id="{00000000-0008-0000-0800-00005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204</xdr:row>
          <xdr:rowOff>85725</xdr:rowOff>
        </xdr:from>
        <xdr:to>
          <xdr:col>14</xdr:col>
          <xdr:colOff>638175</xdr:colOff>
          <xdr:row>204</xdr:row>
          <xdr:rowOff>247650</xdr:rowOff>
        </xdr:to>
        <xdr:sp macro="" textlink="">
          <xdr:nvSpPr>
            <xdr:cNvPr id="35931" name="OptionButton99" hidden="1">
              <a:extLst>
                <a:ext uri="{63B3BB69-23CF-44E3-9099-C40C66FF867C}">
                  <a14:compatExt spid="_x0000_s35931"/>
                </a:ext>
                <a:ext uri="{FF2B5EF4-FFF2-40B4-BE49-F238E27FC236}">
                  <a16:creationId xmlns:a16="http://schemas.microsoft.com/office/drawing/2014/main" id="{00000000-0008-0000-0800-00005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204</xdr:row>
          <xdr:rowOff>85725</xdr:rowOff>
        </xdr:from>
        <xdr:to>
          <xdr:col>15</xdr:col>
          <xdr:colOff>638175</xdr:colOff>
          <xdr:row>204</xdr:row>
          <xdr:rowOff>247650</xdr:rowOff>
        </xdr:to>
        <xdr:sp macro="" textlink="">
          <xdr:nvSpPr>
            <xdr:cNvPr id="35932" name="OptionButton100" hidden="1">
              <a:extLst>
                <a:ext uri="{63B3BB69-23CF-44E3-9099-C40C66FF867C}">
                  <a14:compatExt spid="_x0000_s35932"/>
                </a:ext>
                <a:ext uri="{FF2B5EF4-FFF2-40B4-BE49-F238E27FC236}">
                  <a16:creationId xmlns:a16="http://schemas.microsoft.com/office/drawing/2014/main" id="{00000000-0008-0000-0800-00005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205</xdr:row>
          <xdr:rowOff>85725</xdr:rowOff>
        </xdr:from>
        <xdr:to>
          <xdr:col>13</xdr:col>
          <xdr:colOff>638175</xdr:colOff>
          <xdr:row>205</xdr:row>
          <xdr:rowOff>247650</xdr:rowOff>
        </xdr:to>
        <xdr:sp macro="" textlink="">
          <xdr:nvSpPr>
            <xdr:cNvPr id="35933" name="OptionButton101" hidden="1">
              <a:extLst>
                <a:ext uri="{63B3BB69-23CF-44E3-9099-C40C66FF867C}">
                  <a14:compatExt spid="_x0000_s35933"/>
                </a:ext>
                <a:ext uri="{FF2B5EF4-FFF2-40B4-BE49-F238E27FC236}">
                  <a16:creationId xmlns:a16="http://schemas.microsoft.com/office/drawing/2014/main" id="{00000000-0008-0000-0800-00005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205</xdr:row>
          <xdr:rowOff>85725</xdr:rowOff>
        </xdr:from>
        <xdr:to>
          <xdr:col>14</xdr:col>
          <xdr:colOff>638175</xdr:colOff>
          <xdr:row>205</xdr:row>
          <xdr:rowOff>247650</xdr:rowOff>
        </xdr:to>
        <xdr:sp macro="" textlink="">
          <xdr:nvSpPr>
            <xdr:cNvPr id="35934" name="OptionButton102" hidden="1">
              <a:extLst>
                <a:ext uri="{63B3BB69-23CF-44E3-9099-C40C66FF867C}">
                  <a14:compatExt spid="_x0000_s35934"/>
                </a:ext>
                <a:ext uri="{FF2B5EF4-FFF2-40B4-BE49-F238E27FC236}">
                  <a16:creationId xmlns:a16="http://schemas.microsoft.com/office/drawing/2014/main" id="{00000000-0008-0000-0800-00005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205</xdr:row>
          <xdr:rowOff>85725</xdr:rowOff>
        </xdr:from>
        <xdr:to>
          <xdr:col>15</xdr:col>
          <xdr:colOff>638175</xdr:colOff>
          <xdr:row>205</xdr:row>
          <xdr:rowOff>247650</xdr:rowOff>
        </xdr:to>
        <xdr:sp macro="" textlink="">
          <xdr:nvSpPr>
            <xdr:cNvPr id="35935" name="OptionButton103" hidden="1">
              <a:extLst>
                <a:ext uri="{63B3BB69-23CF-44E3-9099-C40C66FF867C}">
                  <a14:compatExt spid="_x0000_s35935"/>
                </a:ext>
                <a:ext uri="{FF2B5EF4-FFF2-40B4-BE49-F238E27FC236}">
                  <a16:creationId xmlns:a16="http://schemas.microsoft.com/office/drawing/2014/main" id="{00000000-0008-0000-0800-00005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206</xdr:row>
          <xdr:rowOff>85725</xdr:rowOff>
        </xdr:from>
        <xdr:to>
          <xdr:col>13</xdr:col>
          <xdr:colOff>638175</xdr:colOff>
          <xdr:row>206</xdr:row>
          <xdr:rowOff>247650</xdr:rowOff>
        </xdr:to>
        <xdr:sp macro="" textlink="">
          <xdr:nvSpPr>
            <xdr:cNvPr id="35936" name="OptionButton104" hidden="1">
              <a:extLst>
                <a:ext uri="{63B3BB69-23CF-44E3-9099-C40C66FF867C}">
                  <a14:compatExt spid="_x0000_s35936"/>
                </a:ext>
                <a:ext uri="{FF2B5EF4-FFF2-40B4-BE49-F238E27FC236}">
                  <a16:creationId xmlns:a16="http://schemas.microsoft.com/office/drawing/2014/main" id="{00000000-0008-0000-0800-00006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206</xdr:row>
          <xdr:rowOff>85725</xdr:rowOff>
        </xdr:from>
        <xdr:to>
          <xdr:col>14</xdr:col>
          <xdr:colOff>638175</xdr:colOff>
          <xdr:row>206</xdr:row>
          <xdr:rowOff>247650</xdr:rowOff>
        </xdr:to>
        <xdr:sp macro="" textlink="">
          <xdr:nvSpPr>
            <xdr:cNvPr id="35937" name="OptionButton105" hidden="1">
              <a:extLst>
                <a:ext uri="{63B3BB69-23CF-44E3-9099-C40C66FF867C}">
                  <a14:compatExt spid="_x0000_s35937"/>
                </a:ext>
                <a:ext uri="{FF2B5EF4-FFF2-40B4-BE49-F238E27FC236}">
                  <a16:creationId xmlns:a16="http://schemas.microsoft.com/office/drawing/2014/main" id="{00000000-0008-0000-0800-00006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206</xdr:row>
          <xdr:rowOff>85725</xdr:rowOff>
        </xdr:from>
        <xdr:to>
          <xdr:col>15</xdr:col>
          <xdr:colOff>638175</xdr:colOff>
          <xdr:row>206</xdr:row>
          <xdr:rowOff>247650</xdr:rowOff>
        </xdr:to>
        <xdr:sp macro="" textlink="">
          <xdr:nvSpPr>
            <xdr:cNvPr id="35938" name="OptionButton106" hidden="1">
              <a:extLst>
                <a:ext uri="{63B3BB69-23CF-44E3-9099-C40C66FF867C}">
                  <a14:compatExt spid="_x0000_s35938"/>
                </a:ext>
                <a:ext uri="{FF2B5EF4-FFF2-40B4-BE49-F238E27FC236}">
                  <a16:creationId xmlns:a16="http://schemas.microsoft.com/office/drawing/2014/main" id="{00000000-0008-0000-0800-00006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207</xdr:row>
          <xdr:rowOff>66675</xdr:rowOff>
        </xdr:from>
        <xdr:to>
          <xdr:col>13</xdr:col>
          <xdr:colOff>628650</xdr:colOff>
          <xdr:row>207</xdr:row>
          <xdr:rowOff>228600</xdr:rowOff>
        </xdr:to>
        <xdr:sp macro="" textlink="">
          <xdr:nvSpPr>
            <xdr:cNvPr id="35939" name="OptionButton107" hidden="1">
              <a:extLst>
                <a:ext uri="{63B3BB69-23CF-44E3-9099-C40C66FF867C}">
                  <a14:compatExt spid="_x0000_s35939"/>
                </a:ext>
                <a:ext uri="{FF2B5EF4-FFF2-40B4-BE49-F238E27FC236}">
                  <a16:creationId xmlns:a16="http://schemas.microsoft.com/office/drawing/2014/main" id="{00000000-0008-0000-0800-00006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207</xdr:row>
          <xdr:rowOff>66675</xdr:rowOff>
        </xdr:from>
        <xdr:to>
          <xdr:col>14</xdr:col>
          <xdr:colOff>628650</xdr:colOff>
          <xdr:row>207</xdr:row>
          <xdr:rowOff>228600</xdr:rowOff>
        </xdr:to>
        <xdr:sp macro="" textlink="">
          <xdr:nvSpPr>
            <xdr:cNvPr id="35940" name="OptionButton108" hidden="1">
              <a:extLst>
                <a:ext uri="{63B3BB69-23CF-44E3-9099-C40C66FF867C}">
                  <a14:compatExt spid="_x0000_s35940"/>
                </a:ext>
                <a:ext uri="{FF2B5EF4-FFF2-40B4-BE49-F238E27FC236}">
                  <a16:creationId xmlns:a16="http://schemas.microsoft.com/office/drawing/2014/main" id="{00000000-0008-0000-0800-00006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207</xdr:row>
          <xdr:rowOff>66675</xdr:rowOff>
        </xdr:from>
        <xdr:to>
          <xdr:col>15</xdr:col>
          <xdr:colOff>628650</xdr:colOff>
          <xdr:row>207</xdr:row>
          <xdr:rowOff>228600</xdr:rowOff>
        </xdr:to>
        <xdr:sp macro="" textlink="">
          <xdr:nvSpPr>
            <xdr:cNvPr id="35941" name="OptionButton109" hidden="1">
              <a:extLst>
                <a:ext uri="{63B3BB69-23CF-44E3-9099-C40C66FF867C}">
                  <a14:compatExt spid="_x0000_s35941"/>
                </a:ext>
                <a:ext uri="{FF2B5EF4-FFF2-40B4-BE49-F238E27FC236}">
                  <a16:creationId xmlns:a16="http://schemas.microsoft.com/office/drawing/2014/main" id="{00000000-0008-0000-0800-00006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208</xdr:row>
          <xdr:rowOff>66675</xdr:rowOff>
        </xdr:from>
        <xdr:to>
          <xdr:col>13</xdr:col>
          <xdr:colOff>628650</xdr:colOff>
          <xdr:row>208</xdr:row>
          <xdr:rowOff>228600</xdr:rowOff>
        </xdr:to>
        <xdr:sp macro="" textlink="">
          <xdr:nvSpPr>
            <xdr:cNvPr id="35942" name="OptionButton110" hidden="1">
              <a:extLst>
                <a:ext uri="{63B3BB69-23CF-44E3-9099-C40C66FF867C}">
                  <a14:compatExt spid="_x0000_s35942"/>
                </a:ext>
                <a:ext uri="{FF2B5EF4-FFF2-40B4-BE49-F238E27FC236}">
                  <a16:creationId xmlns:a16="http://schemas.microsoft.com/office/drawing/2014/main" id="{00000000-0008-0000-0800-00006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208</xdr:row>
          <xdr:rowOff>66675</xdr:rowOff>
        </xdr:from>
        <xdr:to>
          <xdr:col>14</xdr:col>
          <xdr:colOff>628650</xdr:colOff>
          <xdr:row>208</xdr:row>
          <xdr:rowOff>228600</xdr:rowOff>
        </xdr:to>
        <xdr:sp macro="" textlink="">
          <xdr:nvSpPr>
            <xdr:cNvPr id="35943" name="OptionButton111" hidden="1">
              <a:extLst>
                <a:ext uri="{63B3BB69-23CF-44E3-9099-C40C66FF867C}">
                  <a14:compatExt spid="_x0000_s35943"/>
                </a:ext>
                <a:ext uri="{FF2B5EF4-FFF2-40B4-BE49-F238E27FC236}">
                  <a16:creationId xmlns:a16="http://schemas.microsoft.com/office/drawing/2014/main" id="{00000000-0008-0000-0800-00006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208</xdr:row>
          <xdr:rowOff>66675</xdr:rowOff>
        </xdr:from>
        <xdr:to>
          <xdr:col>15</xdr:col>
          <xdr:colOff>628650</xdr:colOff>
          <xdr:row>208</xdr:row>
          <xdr:rowOff>228600</xdr:rowOff>
        </xdr:to>
        <xdr:sp macro="" textlink="">
          <xdr:nvSpPr>
            <xdr:cNvPr id="35944" name="OptionButton112" hidden="1">
              <a:extLst>
                <a:ext uri="{63B3BB69-23CF-44E3-9099-C40C66FF867C}">
                  <a14:compatExt spid="_x0000_s35944"/>
                </a:ext>
                <a:ext uri="{FF2B5EF4-FFF2-40B4-BE49-F238E27FC236}">
                  <a16:creationId xmlns:a16="http://schemas.microsoft.com/office/drawing/2014/main" id="{00000000-0008-0000-0800-00006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210</xdr:row>
          <xdr:rowOff>57150</xdr:rowOff>
        </xdr:from>
        <xdr:to>
          <xdr:col>13</xdr:col>
          <xdr:colOff>628650</xdr:colOff>
          <xdr:row>210</xdr:row>
          <xdr:rowOff>219075</xdr:rowOff>
        </xdr:to>
        <xdr:sp macro="" textlink="">
          <xdr:nvSpPr>
            <xdr:cNvPr id="35945" name="OptionButton113" hidden="1">
              <a:extLst>
                <a:ext uri="{63B3BB69-23CF-44E3-9099-C40C66FF867C}">
                  <a14:compatExt spid="_x0000_s35945"/>
                </a:ext>
                <a:ext uri="{FF2B5EF4-FFF2-40B4-BE49-F238E27FC236}">
                  <a16:creationId xmlns:a16="http://schemas.microsoft.com/office/drawing/2014/main" id="{00000000-0008-0000-0800-00006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210</xdr:row>
          <xdr:rowOff>57150</xdr:rowOff>
        </xdr:from>
        <xdr:to>
          <xdr:col>14</xdr:col>
          <xdr:colOff>628650</xdr:colOff>
          <xdr:row>210</xdr:row>
          <xdr:rowOff>219075</xdr:rowOff>
        </xdr:to>
        <xdr:sp macro="" textlink="">
          <xdr:nvSpPr>
            <xdr:cNvPr id="35946" name="OptionButton114" hidden="1">
              <a:extLst>
                <a:ext uri="{63B3BB69-23CF-44E3-9099-C40C66FF867C}">
                  <a14:compatExt spid="_x0000_s35946"/>
                </a:ext>
                <a:ext uri="{FF2B5EF4-FFF2-40B4-BE49-F238E27FC236}">
                  <a16:creationId xmlns:a16="http://schemas.microsoft.com/office/drawing/2014/main" id="{00000000-0008-0000-0800-00006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210</xdr:row>
          <xdr:rowOff>57150</xdr:rowOff>
        </xdr:from>
        <xdr:to>
          <xdr:col>15</xdr:col>
          <xdr:colOff>628650</xdr:colOff>
          <xdr:row>210</xdr:row>
          <xdr:rowOff>219075</xdr:rowOff>
        </xdr:to>
        <xdr:sp macro="" textlink="">
          <xdr:nvSpPr>
            <xdr:cNvPr id="35947" name="OptionButton115" hidden="1">
              <a:extLst>
                <a:ext uri="{63B3BB69-23CF-44E3-9099-C40C66FF867C}">
                  <a14:compatExt spid="_x0000_s35947"/>
                </a:ext>
                <a:ext uri="{FF2B5EF4-FFF2-40B4-BE49-F238E27FC236}">
                  <a16:creationId xmlns:a16="http://schemas.microsoft.com/office/drawing/2014/main" id="{00000000-0008-0000-0800-00006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211</xdr:row>
          <xdr:rowOff>57150</xdr:rowOff>
        </xdr:from>
        <xdr:to>
          <xdr:col>13</xdr:col>
          <xdr:colOff>628650</xdr:colOff>
          <xdr:row>211</xdr:row>
          <xdr:rowOff>219075</xdr:rowOff>
        </xdr:to>
        <xdr:sp macro="" textlink="">
          <xdr:nvSpPr>
            <xdr:cNvPr id="35948" name="OptionButton116" hidden="1">
              <a:extLst>
                <a:ext uri="{63B3BB69-23CF-44E3-9099-C40C66FF867C}">
                  <a14:compatExt spid="_x0000_s35948"/>
                </a:ext>
                <a:ext uri="{FF2B5EF4-FFF2-40B4-BE49-F238E27FC236}">
                  <a16:creationId xmlns:a16="http://schemas.microsoft.com/office/drawing/2014/main" id="{00000000-0008-0000-0800-00006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211</xdr:row>
          <xdr:rowOff>57150</xdr:rowOff>
        </xdr:from>
        <xdr:to>
          <xdr:col>14</xdr:col>
          <xdr:colOff>628650</xdr:colOff>
          <xdr:row>211</xdr:row>
          <xdr:rowOff>219075</xdr:rowOff>
        </xdr:to>
        <xdr:sp macro="" textlink="">
          <xdr:nvSpPr>
            <xdr:cNvPr id="35949" name="OptionButton117" hidden="1">
              <a:extLst>
                <a:ext uri="{63B3BB69-23CF-44E3-9099-C40C66FF867C}">
                  <a14:compatExt spid="_x0000_s35949"/>
                </a:ext>
                <a:ext uri="{FF2B5EF4-FFF2-40B4-BE49-F238E27FC236}">
                  <a16:creationId xmlns:a16="http://schemas.microsoft.com/office/drawing/2014/main" id="{00000000-0008-0000-0800-00006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211</xdr:row>
          <xdr:rowOff>57150</xdr:rowOff>
        </xdr:from>
        <xdr:to>
          <xdr:col>15</xdr:col>
          <xdr:colOff>628650</xdr:colOff>
          <xdr:row>211</xdr:row>
          <xdr:rowOff>219075</xdr:rowOff>
        </xdr:to>
        <xdr:sp macro="" textlink="">
          <xdr:nvSpPr>
            <xdr:cNvPr id="35950" name="OptionButton118" hidden="1">
              <a:extLst>
                <a:ext uri="{63B3BB69-23CF-44E3-9099-C40C66FF867C}">
                  <a14:compatExt spid="_x0000_s35950"/>
                </a:ext>
                <a:ext uri="{FF2B5EF4-FFF2-40B4-BE49-F238E27FC236}">
                  <a16:creationId xmlns:a16="http://schemas.microsoft.com/office/drawing/2014/main" id="{00000000-0008-0000-0800-00006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212</xdr:row>
          <xdr:rowOff>57150</xdr:rowOff>
        </xdr:from>
        <xdr:to>
          <xdr:col>13</xdr:col>
          <xdr:colOff>628650</xdr:colOff>
          <xdr:row>212</xdr:row>
          <xdr:rowOff>219075</xdr:rowOff>
        </xdr:to>
        <xdr:sp macro="" textlink="">
          <xdr:nvSpPr>
            <xdr:cNvPr id="35951" name="OptionButton119" hidden="1">
              <a:extLst>
                <a:ext uri="{63B3BB69-23CF-44E3-9099-C40C66FF867C}">
                  <a14:compatExt spid="_x0000_s35951"/>
                </a:ext>
                <a:ext uri="{FF2B5EF4-FFF2-40B4-BE49-F238E27FC236}">
                  <a16:creationId xmlns:a16="http://schemas.microsoft.com/office/drawing/2014/main" id="{00000000-0008-0000-0800-00006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212</xdr:row>
          <xdr:rowOff>57150</xdr:rowOff>
        </xdr:from>
        <xdr:to>
          <xdr:col>14</xdr:col>
          <xdr:colOff>628650</xdr:colOff>
          <xdr:row>212</xdr:row>
          <xdr:rowOff>219075</xdr:rowOff>
        </xdr:to>
        <xdr:sp macro="" textlink="">
          <xdr:nvSpPr>
            <xdr:cNvPr id="35952" name="OptionButton120" hidden="1">
              <a:extLst>
                <a:ext uri="{63B3BB69-23CF-44E3-9099-C40C66FF867C}">
                  <a14:compatExt spid="_x0000_s35952"/>
                </a:ext>
                <a:ext uri="{FF2B5EF4-FFF2-40B4-BE49-F238E27FC236}">
                  <a16:creationId xmlns:a16="http://schemas.microsoft.com/office/drawing/2014/main" id="{00000000-0008-0000-0800-00007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212</xdr:row>
          <xdr:rowOff>57150</xdr:rowOff>
        </xdr:from>
        <xdr:to>
          <xdr:col>15</xdr:col>
          <xdr:colOff>628650</xdr:colOff>
          <xdr:row>212</xdr:row>
          <xdr:rowOff>219075</xdr:rowOff>
        </xdr:to>
        <xdr:sp macro="" textlink="">
          <xdr:nvSpPr>
            <xdr:cNvPr id="35953" name="OptionButton121" hidden="1">
              <a:extLst>
                <a:ext uri="{63B3BB69-23CF-44E3-9099-C40C66FF867C}">
                  <a14:compatExt spid="_x0000_s35953"/>
                </a:ext>
                <a:ext uri="{FF2B5EF4-FFF2-40B4-BE49-F238E27FC236}">
                  <a16:creationId xmlns:a16="http://schemas.microsoft.com/office/drawing/2014/main" id="{00000000-0008-0000-0800-00007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213</xdr:row>
          <xdr:rowOff>85725</xdr:rowOff>
        </xdr:from>
        <xdr:to>
          <xdr:col>13</xdr:col>
          <xdr:colOff>638175</xdr:colOff>
          <xdr:row>213</xdr:row>
          <xdr:rowOff>247650</xdr:rowOff>
        </xdr:to>
        <xdr:sp macro="" textlink="">
          <xdr:nvSpPr>
            <xdr:cNvPr id="35954" name="OptionButton122" hidden="1">
              <a:extLst>
                <a:ext uri="{63B3BB69-23CF-44E3-9099-C40C66FF867C}">
                  <a14:compatExt spid="_x0000_s35954"/>
                </a:ext>
                <a:ext uri="{FF2B5EF4-FFF2-40B4-BE49-F238E27FC236}">
                  <a16:creationId xmlns:a16="http://schemas.microsoft.com/office/drawing/2014/main" id="{00000000-0008-0000-0800-00007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213</xdr:row>
          <xdr:rowOff>85725</xdr:rowOff>
        </xdr:from>
        <xdr:to>
          <xdr:col>14</xdr:col>
          <xdr:colOff>638175</xdr:colOff>
          <xdr:row>213</xdr:row>
          <xdr:rowOff>247650</xdr:rowOff>
        </xdr:to>
        <xdr:sp macro="" textlink="">
          <xdr:nvSpPr>
            <xdr:cNvPr id="35955" name="OptionButton123" hidden="1">
              <a:extLst>
                <a:ext uri="{63B3BB69-23CF-44E3-9099-C40C66FF867C}">
                  <a14:compatExt spid="_x0000_s35955"/>
                </a:ext>
                <a:ext uri="{FF2B5EF4-FFF2-40B4-BE49-F238E27FC236}">
                  <a16:creationId xmlns:a16="http://schemas.microsoft.com/office/drawing/2014/main" id="{00000000-0008-0000-0800-00007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213</xdr:row>
          <xdr:rowOff>85725</xdr:rowOff>
        </xdr:from>
        <xdr:to>
          <xdr:col>15</xdr:col>
          <xdr:colOff>638175</xdr:colOff>
          <xdr:row>213</xdr:row>
          <xdr:rowOff>247650</xdr:rowOff>
        </xdr:to>
        <xdr:sp macro="" textlink="">
          <xdr:nvSpPr>
            <xdr:cNvPr id="35956" name="OptionButton124" hidden="1">
              <a:extLst>
                <a:ext uri="{63B3BB69-23CF-44E3-9099-C40C66FF867C}">
                  <a14:compatExt spid="_x0000_s35956"/>
                </a:ext>
                <a:ext uri="{FF2B5EF4-FFF2-40B4-BE49-F238E27FC236}">
                  <a16:creationId xmlns:a16="http://schemas.microsoft.com/office/drawing/2014/main" id="{00000000-0008-0000-0800-00007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214</xdr:row>
          <xdr:rowOff>85725</xdr:rowOff>
        </xdr:from>
        <xdr:to>
          <xdr:col>13</xdr:col>
          <xdr:colOff>619125</xdr:colOff>
          <xdr:row>214</xdr:row>
          <xdr:rowOff>247650</xdr:rowOff>
        </xdr:to>
        <xdr:sp macro="" textlink="">
          <xdr:nvSpPr>
            <xdr:cNvPr id="35957" name="OptionButton125" hidden="1">
              <a:extLst>
                <a:ext uri="{63B3BB69-23CF-44E3-9099-C40C66FF867C}">
                  <a14:compatExt spid="_x0000_s35957"/>
                </a:ext>
                <a:ext uri="{FF2B5EF4-FFF2-40B4-BE49-F238E27FC236}">
                  <a16:creationId xmlns:a16="http://schemas.microsoft.com/office/drawing/2014/main" id="{00000000-0008-0000-0800-00007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215</xdr:row>
          <xdr:rowOff>85725</xdr:rowOff>
        </xdr:from>
        <xdr:to>
          <xdr:col>13</xdr:col>
          <xdr:colOff>628650</xdr:colOff>
          <xdr:row>215</xdr:row>
          <xdr:rowOff>247650</xdr:rowOff>
        </xdr:to>
        <xdr:sp macro="" textlink="">
          <xdr:nvSpPr>
            <xdr:cNvPr id="35958" name="OptionButton131" hidden="1">
              <a:extLst>
                <a:ext uri="{63B3BB69-23CF-44E3-9099-C40C66FF867C}">
                  <a14:compatExt spid="_x0000_s35958"/>
                </a:ext>
                <a:ext uri="{FF2B5EF4-FFF2-40B4-BE49-F238E27FC236}">
                  <a16:creationId xmlns:a16="http://schemas.microsoft.com/office/drawing/2014/main" id="{00000000-0008-0000-0800-00007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215</xdr:row>
          <xdr:rowOff>85725</xdr:rowOff>
        </xdr:from>
        <xdr:to>
          <xdr:col>14</xdr:col>
          <xdr:colOff>628650</xdr:colOff>
          <xdr:row>215</xdr:row>
          <xdr:rowOff>247650</xdr:rowOff>
        </xdr:to>
        <xdr:sp macro="" textlink="">
          <xdr:nvSpPr>
            <xdr:cNvPr id="35959" name="OptionButton132" hidden="1">
              <a:extLst>
                <a:ext uri="{63B3BB69-23CF-44E3-9099-C40C66FF867C}">
                  <a14:compatExt spid="_x0000_s35959"/>
                </a:ext>
                <a:ext uri="{FF2B5EF4-FFF2-40B4-BE49-F238E27FC236}">
                  <a16:creationId xmlns:a16="http://schemas.microsoft.com/office/drawing/2014/main" id="{00000000-0008-0000-0800-00007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215</xdr:row>
          <xdr:rowOff>85725</xdr:rowOff>
        </xdr:from>
        <xdr:to>
          <xdr:col>15</xdr:col>
          <xdr:colOff>628650</xdr:colOff>
          <xdr:row>215</xdr:row>
          <xdr:rowOff>247650</xdr:rowOff>
        </xdr:to>
        <xdr:sp macro="" textlink="">
          <xdr:nvSpPr>
            <xdr:cNvPr id="35960" name="OptionButton133" hidden="1">
              <a:extLst>
                <a:ext uri="{63B3BB69-23CF-44E3-9099-C40C66FF867C}">
                  <a14:compatExt spid="_x0000_s35960"/>
                </a:ext>
                <a:ext uri="{FF2B5EF4-FFF2-40B4-BE49-F238E27FC236}">
                  <a16:creationId xmlns:a16="http://schemas.microsoft.com/office/drawing/2014/main" id="{00000000-0008-0000-0800-00007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216</xdr:row>
          <xdr:rowOff>85725</xdr:rowOff>
        </xdr:from>
        <xdr:to>
          <xdr:col>13</xdr:col>
          <xdr:colOff>628650</xdr:colOff>
          <xdr:row>216</xdr:row>
          <xdr:rowOff>247650</xdr:rowOff>
        </xdr:to>
        <xdr:sp macro="" textlink="">
          <xdr:nvSpPr>
            <xdr:cNvPr id="35961" name="OptionButton134" hidden="1">
              <a:extLst>
                <a:ext uri="{63B3BB69-23CF-44E3-9099-C40C66FF867C}">
                  <a14:compatExt spid="_x0000_s35961"/>
                </a:ext>
                <a:ext uri="{FF2B5EF4-FFF2-40B4-BE49-F238E27FC236}">
                  <a16:creationId xmlns:a16="http://schemas.microsoft.com/office/drawing/2014/main" id="{00000000-0008-0000-0800-00007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216</xdr:row>
          <xdr:rowOff>85725</xdr:rowOff>
        </xdr:from>
        <xdr:to>
          <xdr:col>14</xdr:col>
          <xdr:colOff>628650</xdr:colOff>
          <xdr:row>216</xdr:row>
          <xdr:rowOff>247650</xdr:rowOff>
        </xdr:to>
        <xdr:sp macro="" textlink="">
          <xdr:nvSpPr>
            <xdr:cNvPr id="35962" name="OptionButton135" hidden="1">
              <a:extLst>
                <a:ext uri="{63B3BB69-23CF-44E3-9099-C40C66FF867C}">
                  <a14:compatExt spid="_x0000_s35962"/>
                </a:ext>
                <a:ext uri="{FF2B5EF4-FFF2-40B4-BE49-F238E27FC236}">
                  <a16:creationId xmlns:a16="http://schemas.microsoft.com/office/drawing/2014/main" id="{00000000-0008-0000-0800-00007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216</xdr:row>
          <xdr:rowOff>85725</xdr:rowOff>
        </xdr:from>
        <xdr:to>
          <xdr:col>15</xdr:col>
          <xdr:colOff>628650</xdr:colOff>
          <xdr:row>216</xdr:row>
          <xdr:rowOff>247650</xdr:rowOff>
        </xdr:to>
        <xdr:sp macro="" textlink="">
          <xdr:nvSpPr>
            <xdr:cNvPr id="35963" name="OptionButton136" hidden="1">
              <a:extLst>
                <a:ext uri="{63B3BB69-23CF-44E3-9099-C40C66FF867C}">
                  <a14:compatExt spid="_x0000_s35963"/>
                </a:ext>
                <a:ext uri="{FF2B5EF4-FFF2-40B4-BE49-F238E27FC236}">
                  <a16:creationId xmlns:a16="http://schemas.microsoft.com/office/drawing/2014/main" id="{00000000-0008-0000-0800-00007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195</xdr:row>
          <xdr:rowOff>47625</xdr:rowOff>
        </xdr:from>
        <xdr:to>
          <xdr:col>15</xdr:col>
          <xdr:colOff>647700</xdr:colOff>
          <xdr:row>195</xdr:row>
          <xdr:rowOff>209550</xdr:rowOff>
        </xdr:to>
        <xdr:sp macro="" textlink="">
          <xdr:nvSpPr>
            <xdr:cNvPr id="35964" name="OptionButton73" hidden="1">
              <a:extLst>
                <a:ext uri="{63B3BB69-23CF-44E3-9099-C40C66FF867C}">
                  <a14:compatExt spid="_x0000_s35964"/>
                </a:ext>
                <a:ext uri="{FF2B5EF4-FFF2-40B4-BE49-F238E27FC236}">
                  <a16:creationId xmlns:a16="http://schemas.microsoft.com/office/drawing/2014/main" id="{00000000-0008-0000-0800-00007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195</xdr:row>
          <xdr:rowOff>47625</xdr:rowOff>
        </xdr:from>
        <xdr:to>
          <xdr:col>14</xdr:col>
          <xdr:colOff>647700</xdr:colOff>
          <xdr:row>195</xdr:row>
          <xdr:rowOff>209550</xdr:rowOff>
        </xdr:to>
        <xdr:sp macro="" textlink="">
          <xdr:nvSpPr>
            <xdr:cNvPr id="35965" name="OptionButton72" hidden="1">
              <a:extLst>
                <a:ext uri="{63B3BB69-23CF-44E3-9099-C40C66FF867C}">
                  <a14:compatExt spid="_x0000_s35965"/>
                </a:ext>
                <a:ext uri="{FF2B5EF4-FFF2-40B4-BE49-F238E27FC236}">
                  <a16:creationId xmlns:a16="http://schemas.microsoft.com/office/drawing/2014/main" id="{00000000-0008-0000-0800-00007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217</xdr:row>
          <xdr:rowOff>85725</xdr:rowOff>
        </xdr:from>
        <xdr:to>
          <xdr:col>13</xdr:col>
          <xdr:colOff>628650</xdr:colOff>
          <xdr:row>217</xdr:row>
          <xdr:rowOff>247650</xdr:rowOff>
        </xdr:to>
        <xdr:sp macro="" textlink="">
          <xdr:nvSpPr>
            <xdr:cNvPr id="35966" name="OptionButton65" hidden="1">
              <a:extLst>
                <a:ext uri="{63B3BB69-23CF-44E3-9099-C40C66FF867C}">
                  <a14:compatExt spid="_x0000_s35966"/>
                </a:ext>
                <a:ext uri="{FF2B5EF4-FFF2-40B4-BE49-F238E27FC236}">
                  <a16:creationId xmlns:a16="http://schemas.microsoft.com/office/drawing/2014/main" id="{00000000-0008-0000-0800-00007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217</xdr:row>
          <xdr:rowOff>85725</xdr:rowOff>
        </xdr:from>
        <xdr:to>
          <xdr:col>14</xdr:col>
          <xdr:colOff>628650</xdr:colOff>
          <xdr:row>217</xdr:row>
          <xdr:rowOff>247650</xdr:rowOff>
        </xdr:to>
        <xdr:sp macro="" textlink="">
          <xdr:nvSpPr>
            <xdr:cNvPr id="35967" name="OptionButton66" hidden="1">
              <a:extLst>
                <a:ext uri="{63B3BB69-23CF-44E3-9099-C40C66FF867C}">
                  <a14:compatExt spid="_x0000_s35967"/>
                </a:ext>
                <a:ext uri="{FF2B5EF4-FFF2-40B4-BE49-F238E27FC236}">
                  <a16:creationId xmlns:a16="http://schemas.microsoft.com/office/drawing/2014/main" id="{00000000-0008-0000-0800-00007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217</xdr:row>
          <xdr:rowOff>85725</xdr:rowOff>
        </xdr:from>
        <xdr:to>
          <xdr:col>15</xdr:col>
          <xdr:colOff>628650</xdr:colOff>
          <xdr:row>217</xdr:row>
          <xdr:rowOff>247650</xdr:rowOff>
        </xdr:to>
        <xdr:sp macro="" textlink="">
          <xdr:nvSpPr>
            <xdr:cNvPr id="35968" name="OptionButton67" hidden="1">
              <a:extLst>
                <a:ext uri="{63B3BB69-23CF-44E3-9099-C40C66FF867C}">
                  <a14:compatExt spid="_x0000_s35968"/>
                </a:ext>
                <a:ext uri="{FF2B5EF4-FFF2-40B4-BE49-F238E27FC236}">
                  <a16:creationId xmlns:a16="http://schemas.microsoft.com/office/drawing/2014/main" id="{00000000-0008-0000-0800-00008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218</xdr:row>
          <xdr:rowOff>85725</xdr:rowOff>
        </xdr:from>
        <xdr:to>
          <xdr:col>13</xdr:col>
          <xdr:colOff>628650</xdr:colOff>
          <xdr:row>218</xdr:row>
          <xdr:rowOff>247650</xdr:rowOff>
        </xdr:to>
        <xdr:sp macro="" textlink="">
          <xdr:nvSpPr>
            <xdr:cNvPr id="35969" name="OptionButton74" hidden="1">
              <a:extLst>
                <a:ext uri="{63B3BB69-23CF-44E3-9099-C40C66FF867C}">
                  <a14:compatExt spid="_x0000_s35969"/>
                </a:ext>
                <a:ext uri="{FF2B5EF4-FFF2-40B4-BE49-F238E27FC236}">
                  <a16:creationId xmlns:a16="http://schemas.microsoft.com/office/drawing/2014/main" id="{00000000-0008-0000-0800-00008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218</xdr:row>
          <xdr:rowOff>85725</xdr:rowOff>
        </xdr:from>
        <xdr:to>
          <xdr:col>14</xdr:col>
          <xdr:colOff>628650</xdr:colOff>
          <xdr:row>218</xdr:row>
          <xdr:rowOff>247650</xdr:rowOff>
        </xdr:to>
        <xdr:sp macro="" textlink="">
          <xdr:nvSpPr>
            <xdr:cNvPr id="35970" name="OptionButton75" hidden="1">
              <a:extLst>
                <a:ext uri="{63B3BB69-23CF-44E3-9099-C40C66FF867C}">
                  <a14:compatExt spid="_x0000_s35970"/>
                </a:ext>
                <a:ext uri="{FF2B5EF4-FFF2-40B4-BE49-F238E27FC236}">
                  <a16:creationId xmlns:a16="http://schemas.microsoft.com/office/drawing/2014/main" id="{00000000-0008-0000-0800-00008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218</xdr:row>
          <xdr:rowOff>85725</xdr:rowOff>
        </xdr:from>
        <xdr:to>
          <xdr:col>15</xdr:col>
          <xdr:colOff>628650</xdr:colOff>
          <xdr:row>218</xdr:row>
          <xdr:rowOff>247650</xdr:rowOff>
        </xdr:to>
        <xdr:sp macro="" textlink="">
          <xdr:nvSpPr>
            <xdr:cNvPr id="35971" name="OptionButton76" hidden="1">
              <a:extLst>
                <a:ext uri="{63B3BB69-23CF-44E3-9099-C40C66FF867C}">
                  <a14:compatExt spid="_x0000_s35971"/>
                </a:ext>
                <a:ext uri="{FF2B5EF4-FFF2-40B4-BE49-F238E27FC236}">
                  <a16:creationId xmlns:a16="http://schemas.microsoft.com/office/drawing/2014/main" id="{00000000-0008-0000-0800-00008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219</xdr:row>
          <xdr:rowOff>76200</xdr:rowOff>
        </xdr:from>
        <xdr:to>
          <xdr:col>13</xdr:col>
          <xdr:colOff>638175</xdr:colOff>
          <xdr:row>219</xdr:row>
          <xdr:rowOff>238125</xdr:rowOff>
        </xdr:to>
        <xdr:sp macro="" textlink="">
          <xdr:nvSpPr>
            <xdr:cNvPr id="35972" name="OptionButton128" hidden="1">
              <a:extLst>
                <a:ext uri="{63B3BB69-23CF-44E3-9099-C40C66FF867C}">
                  <a14:compatExt spid="_x0000_s35972"/>
                </a:ext>
                <a:ext uri="{FF2B5EF4-FFF2-40B4-BE49-F238E27FC236}">
                  <a16:creationId xmlns:a16="http://schemas.microsoft.com/office/drawing/2014/main" id="{00000000-0008-0000-0800-00008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219</xdr:row>
          <xdr:rowOff>76200</xdr:rowOff>
        </xdr:from>
        <xdr:to>
          <xdr:col>14</xdr:col>
          <xdr:colOff>638175</xdr:colOff>
          <xdr:row>219</xdr:row>
          <xdr:rowOff>238125</xdr:rowOff>
        </xdr:to>
        <xdr:sp macro="" textlink="">
          <xdr:nvSpPr>
            <xdr:cNvPr id="35973" name="OptionButton129" hidden="1">
              <a:extLst>
                <a:ext uri="{63B3BB69-23CF-44E3-9099-C40C66FF867C}">
                  <a14:compatExt spid="_x0000_s35973"/>
                </a:ext>
                <a:ext uri="{FF2B5EF4-FFF2-40B4-BE49-F238E27FC236}">
                  <a16:creationId xmlns:a16="http://schemas.microsoft.com/office/drawing/2014/main" id="{00000000-0008-0000-0800-00008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219</xdr:row>
          <xdr:rowOff>76200</xdr:rowOff>
        </xdr:from>
        <xdr:to>
          <xdr:col>15</xdr:col>
          <xdr:colOff>638175</xdr:colOff>
          <xdr:row>219</xdr:row>
          <xdr:rowOff>238125</xdr:rowOff>
        </xdr:to>
        <xdr:sp macro="" textlink="">
          <xdr:nvSpPr>
            <xdr:cNvPr id="35974" name="OptionButton130" hidden="1">
              <a:extLst>
                <a:ext uri="{63B3BB69-23CF-44E3-9099-C40C66FF867C}">
                  <a14:compatExt spid="_x0000_s35974"/>
                </a:ext>
                <a:ext uri="{FF2B5EF4-FFF2-40B4-BE49-F238E27FC236}">
                  <a16:creationId xmlns:a16="http://schemas.microsoft.com/office/drawing/2014/main" id="{00000000-0008-0000-0800-00008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214</xdr:row>
          <xdr:rowOff>85725</xdr:rowOff>
        </xdr:from>
        <xdr:to>
          <xdr:col>14</xdr:col>
          <xdr:colOff>619125</xdr:colOff>
          <xdr:row>214</xdr:row>
          <xdr:rowOff>247650</xdr:rowOff>
        </xdr:to>
        <xdr:sp macro="" textlink="">
          <xdr:nvSpPr>
            <xdr:cNvPr id="35975" name="OptionButton126" hidden="1">
              <a:extLst>
                <a:ext uri="{63B3BB69-23CF-44E3-9099-C40C66FF867C}">
                  <a14:compatExt spid="_x0000_s35975"/>
                </a:ext>
                <a:ext uri="{FF2B5EF4-FFF2-40B4-BE49-F238E27FC236}">
                  <a16:creationId xmlns:a16="http://schemas.microsoft.com/office/drawing/2014/main" id="{00000000-0008-0000-0800-00008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428625</xdr:colOff>
          <xdr:row>214</xdr:row>
          <xdr:rowOff>85725</xdr:rowOff>
        </xdr:from>
        <xdr:to>
          <xdr:col>15</xdr:col>
          <xdr:colOff>619125</xdr:colOff>
          <xdr:row>214</xdr:row>
          <xdr:rowOff>247650</xdr:rowOff>
        </xdr:to>
        <xdr:sp macro="" textlink="">
          <xdr:nvSpPr>
            <xdr:cNvPr id="35976" name="OptionButton127" hidden="1">
              <a:extLst>
                <a:ext uri="{63B3BB69-23CF-44E3-9099-C40C66FF867C}">
                  <a14:compatExt spid="_x0000_s35976"/>
                </a:ext>
                <a:ext uri="{FF2B5EF4-FFF2-40B4-BE49-F238E27FC236}">
                  <a16:creationId xmlns:a16="http://schemas.microsoft.com/office/drawing/2014/main" id="{00000000-0008-0000-0800-00008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227</xdr:row>
          <xdr:rowOff>104775</xdr:rowOff>
        </xdr:from>
        <xdr:to>
          <xdr:col>12</xdr:col>
          <xdr:colOff>704850</xdr:colOff>
          <xdr:row>227</xdr:row>
          <xdr:rowOff>266700</xdr:rowOff>
        </xdr:to>
        <xdr:sp macro="" textlink="">
          <xdr:nvSpPr>
            <xdr:cNvPr id="35977" name="OptionButton137" hidden="1">
              <a:extLst>
                <a:ext uri="{63B3BB69-23CF-44E3-9099-C40C66FF867C}">
                  <a14:compatExt spid="_x0000_s35977"/>
                </a:ext>
                <a:ext uri="{FF2B5EF4-FFF2-40B4-BE49-F238E27FC236}">
                  <a16:creationId xmlns:a16="http://schemas.microsoft.com/office/drawing/2014/main" id="{00000000-0008-0000-0800-00008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227</xdr:row>
          <xdr:rowOff>104775</xdr:rowOff>
        </xdr:from>
        <xdr:to>
          <xdr:col>13</xdr:col>
          <xdr:colOff>704850</xdr:colOff>
          <xdr:row>227</xdr:row>
          <xdr:rowOff>266700</xdr:rowOff>
        </xdr:to>
        <xdr:sp macro="" textlink="">
          <xdr:nvSpPr>
            <xdr:cNvPr id="35978" name="OptionButton138" hidden="1">
              <a:extLst>
                <a:ext uri="{63B3BB69-23CF-44E3-9099-C40C66FF867C}">
                  <a14:compatExt spid="_x0000_s35978"/>
                </a:ext>
                <a:ext uri="{FF2B5EF4-FFF2-40B4-BE49-F238E27FC236}">
                  <a16:creationId xmlns:a16="http://schemas.microsoft.com/office/drawing/2014/main" id="{00000000-0008-0000-0800-00008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227</xdr:row>
          <xdr:rowOff>104775</xdr:rowOff>
        </xdr:from>
        <xdr:to>
          <xdr:col>14</xdr:col>
          <xdr:colOff>704850</xdr:colOff>
          <xdr:row>227</xdr:row>
          <xdr:rowOff>266700</xdr:rowOff>
        </xdr:to>
        <xdr:sp macro="" textlink="">
          <xdr:nvSpPr>
            <xdr:cNvPr id="35979" name="OptionButton139" hidden="1">
              <a:extLst>
                <a:ext uri="{63B3BB69-23CF-44E3-9099-C40C66FF867C}">
                  <a14:compatExt spid="_x0000_s35979"/>
                </a:ext>
                <a:ext uri="{FF2B5EF4-FFF2-40B4-BE49-F238E27FC236}">
                  <a16:creationId xmlns:a16="http://schemas.microsoft.com/office/drawing/2014/main" id="{00000000-0008-0000-0800-00008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228</xdr:row>
          <xdr:rowOff>104775</xdr:rowOff>
        </xdr:from>
        <xdr:to>
          <xdr:col>12</xdr:col>
          <xdr:colOff>704850</xdr:colOff>
          <xdr:row>228</xdr:row>
          <xdr:rowOff>266700</xdr:rowOff>
        </xdr:to>
        <xdr:sp macro="" textlink="">
          <xdr:nvSpPr>
            <xdr:cNvPr id="35980" name="OptionButton140" hidden="1">
              <a:extLst>
                <a:ext uri="{63B3BB69-23CF-44E3-9099-C40C66FF867C}">
                  <a14:compatExt spid="_x0000_s35980"/>
                </a:ext>
                <a:ext uri="{FF2B5EF4-FFF2-40B4-BE49-F238E27FC236}">
                  <a16:creationId xmlns:a16="http://schemas.microsoft.com/office/drawing/2014/main" id="{00000000-0008-0000-0800-00008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228</xdr:row>
          <xdr:rowOff>104775</xdr:rowOff>
        </xdr:from>
        <xdr:to>
          <xdr:col>13</xdr:col>
          <xdr:colOff>704850</xdr:colOff>
          <xdr:row>228</xdr:row>
          <xdr:rowOff>266700</xdr:rowOff>
        </xdr:to>
        <xdr:sp macro="" textlink="">
          <xdr:nvSpPr>
            <xdr:cNvPr id="35981" name="OptionButton141" hidden="1">
              <a:extLst>
                <a:ext uri="{63B3BB69-23CF-44E3-9099-C40C66FF867C}">
                  <a14:compatExt spid="_x0000_s35981"/>
                </a:ext>
                <a:ext uri="{FF2B5EF4-FFF2-40B4-BE49-F238E27FC236}">
                  <a16:creationId xmlns:a16="http://schemas.microsoft.com/office/drawing/2014/main" id="{00000000-0008-0000-0800-00008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228</xdr:row>
          <xdr:rowOff>104775</xdr:rowOff>
        </xdr:from>
        <xdr:to>
          <xdr:col>14</xdr:col>
          <xdr:colOff>704850</xdr:colOff>
          <xdr:row>228</xdr:row>
          <xdr:rowOff>266700</xdr:rowOff>
        </xdr:to>
        <xdr:sp macro="" textlink="">
          <xdr:nvSpPr>
            <xdr:cNvPr id="35982" name="OptionButton142" hidden="1">
              <a:extLst>
                <a:ext uri="{63B3BB69-23CF-44E3-9099-C40C66FF867C}">
                  <a14:compatExt spid="_x0000_s35982"/>
                </a:ext>
                <a:ext uri="{FF2B5EF4-FFF2-40B4-BE49-F238E27FC236}">
                  <a16:creationId xmlns:a16="http://schemas.microsoft.com/office/drawing/2014/main" id="{00000000-0008-0000-0800-00008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229</xdr:row>
          <xdr:rowOff>104775</xdr:rowOff>
        </xdr:from>
        <xdr:to>
          <xdr:col>12</xdr:col>
          <xdr:colOff>704850</xdr:colOff>
          <xdr:row>229</xdr:row>
          <xdr:rowOff>266700</xdr:rowOff>
        </xdr:to>
        <xdr:sp macro="" textlink="">
          <xdr:nvSpPr>
            <xdr:cNvPr id="35983" name="OptionButton143" hidden="1">
              <a:extLst>
                <a:ext uri="{63B3BB69-23CF-44E3-9099-C40C66FF867C}">
                  <a14:compatExt spid="_x0000_s35983"/>
                </a:ext>
                <a:ext uri="{FF2B5EF4-FFF2-40B4-BE49-F238E27FC236}">
                  <a16:creationId xmlns:a16="http://schemas.microsoft.com/office/drawing/2014/main" id="{00000000-0008-0000-0800-00008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229</xdr:row>
          <xdr:rowOff>104775</xdr:rowOff>
        </xdr:from>
        <xdr:to>
          <xdr:col>13</xdr:col>
          <xdr:colOff>704850</xdr:colOff>
          <xdr:row>229</xdr:row>
          <xdr:rowOff>266700</xdr:rowOff>
        </xdr:to>
        <xdr:sp macro="" textlink="">
          <xdr:nvSpPr>
            <xdr:cNvPr id="35984" name="OptionButton144" hidden="1">
              <a:extLst>
                <a:ext uri="{63B3BB69-23CF-44E3-9099-C40C66FF867C}">
                  <a14:compatExt spid="_x0000_s35984"/>
                </a:ext>
                <a:ext uri="{FF2B5EF4-FFF2-40B4-BE49-F238E27FC236}">
                  <a16:creationId xmlns:a16="http://schemas.microsoft.com/office/drawing/2014/main" id="{00000000-0008-0000-0800-00009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229</xdr:row>
          <xdr:rowOff>104775</xdr:rowOff>
        </xdr:from>
        <xdr:to>
          <xdr:col>14</xdr:col>
          <xdr:colOff>704850</xdr:colOff>
          <xdr:row>229</xdr:row>
          <xdr:rowOff>266700</xdr:rowOff>
        </xdr:to>
        <xdr:sp macro="" textlink="">
          <xdr:nvSpPr>
            <xdr:cNvPr id="35985" name="OptionButton145" hidden="1">
              <a:extLst>
                <a:ext uri="{63B3BB69-23CF-44E3-9099-C40C66FF867C}">
                  <a14:compatExt spid="_x0000_s35985"/>
                </a:ext>
                <a:ext uri="{FF2B5EF4-FFF2-40B4-BE49-F238E27FC236}">
                  <a16:creationId xmlns:a16="http://schemas.microsoft.com/office/drawing/2014/main" id="{00000000-0008-0000-0800-00009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239</xdr:row>
          <xdr:rowOff>104775</xdr:rowOff>
        </xdr:from>
        <xdr:to>
          <xdr:col>13</xdr:col>
          <xdr:colOff>704850</xdr:colOff>
          <xdr:row>239</xdr:row>
          <xdr:rowOff>266700</xdr:rowOff>
        </xdr:to>
        <xdr:sp macro="" textlink="">
          <xdr:nvSpPr>
            <xdr:cNvPr id="35986" name="OptionButton146" hidden="1">
              <a:extLst>
                <a:ext uri="{63B3BB69-23CF-44E3-9099-C40C66FF867C}">
                  <a14:compatExt spid="_x0000_s35986"/>
                </a:ext>
                <a:ext uri="{FF2B5EF4-FFF2-40B4-BE49-F238E27FC236}">
                  <a16:creationId xmlns:a16="http://schemas.microsoft.com/office/drawing/2014/main" id="{00000000-0008-0000-0800-00009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239</xdr:row>
          <xdr:rowOff>104775</xdr:rowOff>
        </xdr:from>
        <xdr:to>
          <xdr:col>14</xdr:col>
          <xdr:colOff>704850</xdr:colOff>
          <xdr:row>239</xdr:row>
          <xdr:rowOff>266700</xdr:rowOff>
        </xdr:to>
        <xdr:sp macro="" textlink="">
          <xdr:nvSpPr>
            <xdr:cNvPr id="35987" name="OptionButton147" hidden="1">
              <a:extLst>
                <a:ext uri="{63B3BB69-23CF-44E3-9099-C40C66FF867C}">
                  <a14:compatExt spid="_x0000_s35987"/>
                </a:ext>
                <a:ext uri="{FF2B5EF4-FFF2-40B4-BE49-F238E27FC236}">
                  <a16:creationId xmlns:a16="http://schemas.microsoft.com/office/drawing/2014/main" id="{00000000-0008-0000-0800-00009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514350</xdr:colOff>
          <xdr:row>239</xdr:row>
          <xdr:rowOff>104775</xdr:rowOff>
        </xdr:from>
        <xdr:to>
          <xdr:col>15</xdr:col>
          <xdr:colOff>704850</xdr:colOff>
          <xdr:row>239</xdr:row>
          <xdr:rowOff>266700</xdr:rowOff>
        </xdr:to>
        <xdr:sp macro="" textlink="">
          <xdr:nvSpPr>
            <xdr:cNvPr id="35988" name="OptionButton148" hidden="1">
              <a:extLst>
                <a:ext uri="{63B3BB69-23CF-44E3-9099-C40C66FF867C}">
                  <a14:compatExt spid="_x0000_s35988"/>
                </a:ext>
                <a:ext uri="{FF2B5EF4-FFF2-40B4-BE49-F238E27FC236}">
                  <a16:creationId xmlns:a16="http://schemas.microsoft.com/office/drawing/2014/main" id="{00000000-0008-0000-0800-00009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240</xdr:row>
          <xdr:rowOff>104775</xdr:rowOff>
        </xdr:from>
        <xdr:to>
          <xdr:col>13</xdr:col>
          <xdr:colOff>704850</xdr:colOff>
          <xdr:row>240</xdr:row>
          <xdr:rowOff>266700</xdr:rowOff>
        </xdr:to>
        <xdr:sp macro="" textlink="">
          <xdr:nvSpPr>
            <xdr:cNvPr id="35989" name="OptionButton149" hidden="1">
              <a:extLst>
                <a:ext uri="{63B3BB69-23CF-44E3-9099-C40C66FF867C}">
                  <a14:compatExt spid="_x0000_s35989"/>
                </a:ext>
                <a:ext uri="{FF2B5EF4-FFF2-40B4-BE49-F238E27FC236}">
                  <a16:creationId xmlns:a16="http://schemas.microsoft.com/office/drawing/2014/main" id="{00000000-0008-0000-0800-00009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240</xdr:row>
          <xdr:rowOff>104775</xdr:rowOff>
        </xdr:from>
        <xdr:to>
          <xdr:col>14</xdr:col>
          <xdr:colOff>704850</xdr:colOff>
          <xdr:row>240</xdr:row>
          <xdr:rowOff>266700</xdr:rowOff>
        </xdr:to>
        <xdr:sp macro="" textlink="">
          <xdr:nvSpPr>
            <xdr:cNvPr id="35990" name="OptionButton150" hidden="1">
              <a:extLst>
                <a:ext uri="{63B3BB69-23CF-44E3-9099-C40C66FF867C}">
                  <a14:compatExt spid="_x0000_s35990"/>
                </a:ext>
                <a:ext uri="{FF2B5EF4-FFF2-40B4-BE49-F238E27FC236}">
                  <a16:creationId xmlns:a16="http://schemas.microsoft.com/office/drawing/2014/main" id="{00000000-0008-0000-0800-00009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514350</xdr:colOff>
          <xdr:row>240</xdr:row>
          <xdr:rowOff>104775</xdr:rowOff>
        </xdr:from>
        <xdr:to>
          <xdr:col>15</xdr:col>
          <xdr:colOff>704850</xdr:colOff>
          <xdr:row>240</xdr:row>
          <xdr:rowOff>266700</xdr:rowOff>
        </xdr:to>
        <xdr:sp macro="" textlink="">
          <xdr:nvSpPr>
            <xdr:cNvPr id="35991" name="OptionButton151" hidden="1">
              <a:extLst>
                <a:ext uri="{63B3BB69-23CF-44E3-9099-C40C66FF867C}">
                  <a14:compatExt spid="_x0000_s35991"/>
                </a:ext>
                <a:ext uri="{FF2B5EF4-FFF2-40B4-BE49-F238E27FC236}">
                  <a16:creationId xmlns:a16="http://schemas.microsoft.com/office/drawing/2014/main" id="{00000000-0008-0000-0800-00009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252</xdr:row>
          <xdr:rowOff>104775</xdr:rowOff>
        </xdr:from>
        <xdr:to>
          <xdr:col>13</xdr:col>
          <xdr:colOff>704850</xdr:colOff>
          <xdr:row>252</xdr:row>
          <xdr:rowOff>266700</xdr:rowOff>
        </xdr:to>
        <xdr:sp macro="" textlink="">
          <xdr:nvSpPr>
            <xdr:cNvPr id="35992" name="OptionButton152" hidden="1">
              <a:extLst>
                <a:ext uri="{63B3BB69-23CF-44E3-9099-C40C66FF867C}">
                  <a14:compatExt spid="_x0000_s35992"/>
                </a:ext>
                <a:ext uri="{FF2B5EF4-FFF2-40B4-BE49-F238E27FC236}">
                  <a16:creationId xmlns:a16="http://schemas.microsoft.com/office/drawing/2014/main" id="{00000000-0008-0000-0800-00009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252</xdr:row>
          <xdr:rowOff>104775</xdr:rowOff>
        </xdr:from>
        <xdr:to>
          <xdr:col>14</xdr:col>
          <xdr:colOff>704850</xdr:colOff>
          <xdr:row>252</xdr:row>
          <xdr:rowOff>266700</xdr:rowOff>
        </xdr:to>
        <xdr:sp macro="" textlink="">
          <xdr:nvSpPr>
            <xdr:cNvPr id="35993" name="OptionButton153" hidden="1">
              <a:extLst>
                <a:ext uri="{63B3BB69-23CF-44E3-9099-C40C66FF867C}">
                  <a14:compatExt spid="_x0000_s35993"/>
                </a:ext>
                <a:ext uri="{FF2B5EF4-FFF2-40B4-BE49-F238E27FC236}">
                  <a16:creationId xmlns:a16="http://schemas.microsoft.com/office/drawing/2014/main" id="{00000000-0008-0000-0800-00009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514350</xdr:colOff>
          <xdr:row>252</xdr:row>
          <xdr:rowOff>104775</xdr:rowOff>
        </xdr:from>
        <xdr:to>
          <xdr:col>15</xdr:col>
          <xdr:colOff>704850</xdr:colOff>
          <xdr:row>252</xdr:row>
          <xdr:rowOff>266700</xdr:rowOff>
        </xdr:to>
        <xdr:sp macro="" textlink="">
          <xdr:nvSpPr>
            <xdr:cNvPr id="35994" name="OptionButton154" hidden="1">
              <a:extLst>
                <a:ext uri="{63B3BB69-23CF-44E3-9099-C40C66FF867C}">
                  <a14:compatExt spid="_x0000_s35994"/>
                </a:ext>
                <a:ext uri="{FF2B5EF4-FFF2-40B4-BE49-F238E27FC236}">
                  <a16:creationId xmlns:a16="http://schemas.microsoft.com/office/drawing/2014/main" id="{00000000-0008-0000-0800-00009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209</xdr:row>
          <xdr:rowOff>66675</xdr:rowOff>
        </xdr:from>
        <xdr:to>
          <xdr:col>13</xdr:col>
          <xdr:colOff>628650</xdr:colOff>
          <xdr:row>209</xdr:row>
          <xdr:rowOff>228600</xdr:rowOff>
        </xdr:to>
        <xdr:sp macro="" textlink="">
          <xdr:nvSpPr>
            <xdr:cNvPr id="36000" name="OptionButton3" hidden="1">
              <a:extLst>
                <a:ext uri="{63B3BB69-23CF-44E3-9099-C40C66FF867C}">
                  <a14:compatExt spid="_x0000_s36000"/>
                </a:ext>
                <a:ext uri="{FF2B5EF4-FFF2-40B4-BE49-F238E27FC236}">
                  <a16:creationId xmlns:a16="http://schemas.microsoft.com/office/drawing/2014/main" id="{00000000-0008-0000-0800-0000A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209</xdr:row>
          <xdr:rowOff>66675</xdr:rowOff>
        </xdr:from>
        <xdr:to>
          <xdr:col>14</xdr:col>
          <xdr:colOff>628650</xdr:colOff>
          <xdr:row>209</xdr:row>
          <xdr:rowOff>228600</xdr:rowOff>
        </xdr:to>
        <xdr:sp macro="" textlink="">
          <xdr:nvSpPr>
            <xdr:cNvPr id="36001" name="OptionButton4" hidden="1">
              <a:extLst>
                <a:ext uri="{63B3BB69-23CF-44E3-9099-C40C66FF867C}">
                  <a14:compatExt spid="_x0000_s36001"/>
                </a:ext>
                <a:ext uri="{FF2B5EF4-FFF2-40B4-BE49-F238E27FC236}">
                  <a16:creationId xmlns:a16="http://schemas.microsoft.com/office/drawing/2014/main" id="{00000000-0008-0000-0800-0000A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209</xdr:row>
          <xdr:rowOff>66675</xdr:rowOff>
        </xdr:from>
        <xdr:to>
          <xdr:col>15</xdr:col>
          <xdr:colOff>628650</xdr:colOff>
          <xdr:row>209</xdr:row>
          <xdr:rowOff>228600</xdr:rowOff>
        </xdr:to>
        <xdr:sp macro="" textlink="">
          <xdr:nvSpPr>
            <xdr:cNvPr id="36002" name="OptionButton5" hidden="1">
              <a:extLst>
                <a:ext uri="{63B3BB69-23CF-44E3-9099-C40C66FF867C}">
                  <a14:compatExt spid="_x0000_s36002"/>
                </a:ext>
                <a:ext uri="{FF2B5EF4-FFF2-40B4-BE49-F238E27FC236}">
                  <a16:creationId xmlns:a16="http://schemas.microsoft.com/office/drawing/2014/main" id="{00000000-0008-0000-0800-0000A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171450</xdr:colOff>
      <xdr:row>3</xdr:row>
      <xdr:rowOff>104775</xdr:rowOff>
    </xdr:from>
    <xdr:to>
      <xdr:col>8</xdr:col>
      <xdr:colOff>161925</xdr:colOff>
      <xdr:row>32</xdr:row>
      <xdr:rowOff>161925</xdr:rowOff>
    </xdr:to>
    <xdr:sp macro="" textlink="">
      <xdr:nvSpPr>
        <xdr:cNvPr id="2" name="1 Rectángulo">
          <a:extLst>
            <a:ext uri="{FF2B5EF4-FFF2-40B4-BE49-F238E27FC236}">
              <a16:creationId xmlns:a16="http://schemas.microsoft.com/office/drawing/2014/main" id="{00000000-0008-0000-0900-000002000000}"/>
            </a:ext>
          </a:extLst>
        </xdr:cNvPr>
        <xdr:cNvSpPr/>
      </xdr:nvSpPr>
      <xdr:spPr>
        <a:xfrm>
          <a:off x="4324350" y="781050"/>
          <a:ext cx="7067550" cy="54673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533400</xdr:colOff>
      <xdr:row>3</xdr:row>
      <xdr:rowOff>133350</xdr:rowOff>
    </xdr:from>
    <xdr:to>
      <xdr:col>13</xdr:col>
      <xdr:colOff>257175</xdr:colOff>
      <xdr:row>32</xdr:row>
      <xdr:rowOff>171450</xdr:rowOff>
    </xdr:to>
    <xdr:sp macro="" textlink="">
      <xdr:nvSpPr>
        <xdr:cNvPr id="3" name="2 Rectángulo">
          <a:extLst>
            <a:ext uri="{FF2B5EF4-FFF2-40B4-BE49-F238E27FC236}">
              <a16:creationId xmlns:a16="http://schemas.microsoft.com/office/drawing/2014/main" id="{00000000-0008-0000-0900-000003000000}"/>
            </a:ext>
          </a:extLst>
        </xdr:cNvPr>
        <xdr:cNvSpPr/>
      </xdr:nvSpPr>
      <xdr:spPr>
        <a:xfrm>
          <a:off x="11763375" y="809625"/>
          <a:ext cx="5105400" cy="54483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171450</xdr:colOff>
      <xdr:row>3</xdr:row>
      <xdr:rowOff>104775</xdr:rowOff>
    </xdr:from>
    <xdr:to>
      <xdr:col>8</xdr:col>
      <xdr:colOff>161925</xdr:colOff>
      <xdr:row>32</xdr:row>
      <xdr:rowOff>161925</xdr:rowOff>
    </xdr:to>
    <xdr:sp macro="" textlink="">
      <xdr:nvSpPr>
        <xdr:cNvPr id="2" name="1 Rectángulo">
          <a:extLst>
            <a:ext uri="{FF2B5EF4-FFF2-40B4-BE49-F238E27FC236}">
              <a16:creationId xmlns:a16="http://schemas.microsoft.com/office/drawing/2014/main" id="{00000000-0008-0000-0A00-000002000000}"/>
            </a:ext>
          </a:extLst>
        </xdr:cNvPr>
        <xdr:cNvSpPr/>
      </xdr:nvSpPr>
      <xdr:spPr>
        <a:xfrm>
          <a:off x="4762500" y="1057275"/>
          <a:ext cx="8562975" cy="56578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171450</xdr:colOff>
      <xdr:row>3</xdr:row>
      <xdr:rowOff>104775</xdr:rowOff>
    </xdr:from>
    <xdr:to>
      <xdr:col>8</xdr:col>
      <xdr:colOff>161925</xdr:colOff>
      <xdr:row>32</xdr:row>
      <xdr:rowOff>161925</xdr:rowOff>
    </xdr:to>
    <xdr:sp macro="" textlink="">
      <xdr:nvSpPr>
        <xdr:cNvPr id="2" name="1 Rectángulo">
          <a:extLst>
            <a:ext uri="{FF2B5EF4-FFF2-40B4-BE49-F238E27FC236}">
              <a16:creationId xmlns:a16="http://schemas.microsoft.com/office/drawing/2014/main" id="{00000000-0008-0000-0B00-000002000000}"/>
            </a:ext>
          </a:extLst>
        </xdr:cNvPr>
        <xdr:cNvSpPr/>
      </xdr:nvSpPr>
      <xdr:spPr>
        <a:xfrm>
          <a:off x="4762500" y="1057275"/>
          <a:ext cx="8562975" cy="56578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533400</xdr:colOff>
      <xdr:row>3</xdr:row>
      <xdr:rowOff>133350</xdr:rowOff>
    </xdr:from>
    <xdr:to>
      <xdr:col>13</xdr:col>
      <xdr:colOff>257175</xdr:colOff>
      <xdr:row>32</xdr:row>
      <xdr:rowOff>171450</xdr:rowOff>
    </xdr:to>
    <xdr:sp macro="" textlink="">
      <xdr:nvSpPr>
        <xdr:cNvPr id="3" name="2 Rectángulo">
          <a:extLst>
            <a:ext uri="{FF2B5EF4-FFF2-40B4-BE49-F238E27FC236}">
              <a16:creationId xmlns:a16="http://schemas.microsoft.com/office/drawing/2014/main" id="{00000000-0008-0000-0B00-000003000000}"/>
            </a:ext>
          </a:extLst>
        </xdr:cNvPr>
        <xdr:cNvSpPr/>
      </xdr:nvSpPr>
      <xdr:spPr>
        <a:xfrm>
          <a:off x="13696950" y="1085850"/>
          <a:ext cx="5695950" cy="5638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G%20CONSULTORIA%20SAS/Dropbox/2.PROYECTOS%20DE%20CONSULTORIA/2015%20BID%20Modelo%20Reciclaje%20FASE%202/Documentos%20en%20Desarrollo/Productos%20en%20desarrollo/Nota%20t&#233;cnica/Modelaciones%20finales/Modelo%20costos%20Quit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Datos Generales"/>
      <sheetName val="Referencias"/>
      <sheetName val="ReferenciasP"/>
      <sheetName val="Cálculos"/>
      <sheetName val="Datos Recicladores"/>
      <sheetName val="Datos Prestador"/>
      <sheetName val="C.Recicladores"/>
      <sheetName val="C.RecicladoresRef"/>
      <sheetName val="C.Prestador"/>
      <sheetName val="C.PrestadorRef"/>
      <sheetName val="Resultados Oc"/>
      <sheetName val="Resultados OcRef"/>
      <sheetName val="Comparación Ref."/>
      <sheetName val="Resultados"/>
      <sheetName val="Res. Escenario"/>
      <sheetName val="Comparació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1.emf"/><Relationship Id="rId3" Type="http://schemas.openxmlformats.org/officeDocument/2006/relationships/vmlDrawing" Target="../drawings/vmlDrawing2.vml"/><Relationship Id="rId7" Type="http://schemas.openxmlformats.org/officeDocument/2006/relationships/image" Target="../media/image58.emf"/><Relationship Id="rId12" Type="http://schemas.openxmlformats.org/officeDocument/2006/relationships/control" Target="../activeX/activeX5.xml"/><Relationship Id="rId17" Type="http://schemas.openxmlformats.org/officeDocument/2006/relationships/image" Target="../media/image63.emf"/><Relationship Id="rId2" Type="http://schemas.openxmlformats.org/officeDocument/2006/relationships/drawing" Target="../drawings/drawing4.xml"/><Relationship Id="rId16" Type="http://schemas.openxmlformats.org/officeDocument/2006/relationships/control" Target="../activeX/activeX7.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60.emf"/><Relationship Id="rId5" Type="http://schemas.openxmlformats.org/officeDocument/2006/relationships/image" Target="../media/image57.emf"/><Relationship Id="rId15" Type="http://schemas.openxmlformats.org/officeDocument/2006/relationships/image" Target="../media/image62.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59.emf"/><Relationship Id="rId14" Type="http://schemas.openxmlformats.org/officeDocument/2006/relationships/control" Target="../activeX/activeX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17" Type="http://schemas.openxmlformats.org/officeDocument/2006/relationships/image" Target="../media/image106.emf"/><Relationship Id="rId21" Type="http://schemas.openxmlformats.org/officeDocument/2006/relationships/image" Target="../media/image72.emf"/><Relationship Id="rId42" Type="http://schemas.openxmlformats.org/officeDocument/2006/relationships/control" Target="../activeX/activeX36.xml"/><Relationship Id="rId63" Type="http://schemas.openxmlformats.org/officeDocument/2006/relationships/image" Target="../media/image79.emf"/><Relationship Id="rId84" Type="http://schemas.openxmlformats.org/officeDocument/2006/relationships/control" Target="../activeX/activeX62.xml"/><Relationship Id="rId138" Type="http://schemas.openxmlformats.org/officeDocument/2006/relationships/control" Target="../activeX/activeX89.xml"/><Relationship Id="rId159" Type="http://schemas.openxmlformats.org/officeDocument/2006/relationships/image" Target="../media/image127.emf"/><Relationship Id="rId170" Type="http://schemas.openxmlformats.org/officeDocument/2006/relationships/control" Target="../activeX/activeX105.xml"/><Relationship Id="rId191" Type="http://schemas.openxmlformats.org/officeDocument/2006/relationships/image" Target="../media/image143.emf"/><Relationship Id="rId205" Type="http://schemas.openxmlformats.org/officeDocument/2006/relationships/image" Target="../media/image150.emf"/><Relationship Id="rId226" Type="http://schemas.openxmlformats.org/officeDocument/2006/relationships/control" Target="../activeX/activeX133.xml"/><Relationship Id="rId247" Type="http://schemas.openxmlformats.org/officeDocument/2006/relationships/image" Target="../media/image171.emf"/><Relationship Id="rId107" Type="http://schemas.openxmlformats.org/officeDocument/2006/relationships/image" Target="../media/image101.emf"/><Relationship Id="rId268" Type="http://schemas.openxmlformats.org/officeDocument/2006/relationships/control" Target="../activeX/activeX154.xml"/><Relationship Id="rId289" Type="http://schemas.openxmlformats.org/officeDocument/2006/relationships/image" Target="../media/image192.emf"/><Relationship Id="rId11" Type="http://schemas.openxmlformats.org/officeDocument/2006/relationships/image" Target="../media/image67.emf"/><Relationship Id="rId32" Type="http://schemas.openxmlformats.org/officeDocument/2006/relationships/image" Target="../media/image73.emf"/><Relationship Id="rId53" Type="http://schemas.openxmlformats.org/officeDocument/2006/relationships/control" Target="../activeX/activeX45.xml"/><Relationship Id="rId74" Type="http://schemas.openxmlformats.org/officeDocument/2006/relationships/control" Target="../activeX/activeX57.xml"/><Relationship Id="rId128" Type="http://schemas.openxmlformats.org/officeDocument/2006/relationships/control" Target="../activeX/activeX84.xml"/><Relationship Id="rId149" Type="http://schemas.openxmlformats.org/officeDocument/2006/relationships/image" Target="../media/image122.emf"/><Relationship Id="rId5" Type="http://schemas.openxmlformats.org/officeDocument/2006/relationships/image" Target="../media/image64.emf"/><Relationship Id="rId95" Type="http://schemas.openxmlformats.org/officeDocument/2006/relationships/image" Target="../media/image95.emf"/><Relationship Id="rId160" Type="http://schemas.openxmlformats.org/officeDocument/2006/relationships/control" Target="../activeX/activeX100.xml"/><Relationship Id="rId181" Type="http://schemas.openxmlformats.org/officeDocument/2006/relationships/image" Target="../media/image138.emf"/><Relationship Id="rId216" Type="http://schemas.openxmlformats.org/officeDocument/2006/relationships/control" Target="../activeX/activeX128.xml"/><Relationship Id="rId237" Type="http://schemas.openxmlformats.org/officeDocument/2006/relationships/image" Target="../media/image166.emf"/><Relationship Id="rId258" Type="http://schemas.openxmlformats.org/officeDocument/2006/relationships/control" Target="../activeX/activeX149.xml"/><Relationship Id="rId279" Type="http://schemas.openxmlformats.org/officeDocument/2006/relationships/image" Target="../media/image187.emf"/><Relationship Id="rId22" Type="http://schemas.openxmlformats.org/officeDocument/2006/relationships/control" Target="../activeX/activeX17.xml"/><Relationship Id="rId43" Type="http://schemas.openxmlformats.org/officeDocument/2006/relationships/control" Target="../activeX/activeX37.xml"/><Relationship Id="rId64" Type="http://schemas.openxmlformats.org/officeDocument/2006/relationships/control" Target="../activeX/activeX52.xml"/><Relationship Id="rId118" Type="http://schemas.openxmlformats.org/officeDocument/2006/relationships/control" Target="../activeX/activeX79.xml"/><Relationship Id="rId139" Type="http://schemas.openxmlformats.org/officeDocument/2006/relationships/image" Target="../media/image117.emf"/><Relationship Id="rId85" Type="http://schemas.openxmlformats.org/officeDocument/2006/relationships/image" Target="../media/image90.emf"/><Relationship Id="rId150" Type="http://schemas.openxmlformats.org/officeDocument/2006/relationships/control" Target="../activeX/activeX95.xml"/><Relationship Id="rId171" Type="http://schemas.openxmlformats.org/officeDocument/2006/relationships/image" Target="../media/image133.emf"/><Relationship Id="rId192" Type="http://schemas.openxmlformats.org/officeDocument/2006/relationships/control" Target="../activeX/activeX116.xml"/><Relationship Id="rId206" Type="http://schemas.openxmlformats.org/officeDocument/2006/relationships/control" Target="../activeX/activeX123.xml"/><Relationship Id="rId227" Type="http://schemas.openxmlformats.org/officeDocument/2006/relationships/image" Target="../media/image161.emf"/><Relationship Id="rId248" Type="http://schemas.openxmlformats.org/officeDocument/2006/relationships/control" Target="../activeX/activeX144.xml"/><Relationship Id="rId269" Type="http://schemas.openxmlformats.org/officeDocument/2006/relationships/image" Target="../media/image182.emf"/><Relationship Id="rId12" Type="http://schemas.openxmlformats.org/officeDocument/2006/relationships/control" Target="../activeX/activeX12.xml"/><Relationship Id="rId33" Type="http://schemas.openxmlformats.org/officeDocument/2006/relationships/control" Target="../activeX/activeX27.xml"/><Relationship Id="rId108" Type="http://schemas.openxmlformats.org/officeDocument/2006/relationships/control" Target="../activeX/activeX74.xml"/><Relationship Id="rId129" Type="http://schemas.openxmlformats.org/officeDocument/2006/relationships/image" Target="../media/image112.emf"/><Relationship Id="rId280" Type="http://schemas.openxmlformats.org/officeDocument/2006/relationships/control" Target="../activeX/activeX160.xml"/><Relationship Id="rId54" Type="http://schemas.openxmlformats.org/officeDocument/2006/relationships/control" Target="../activeX/activeX46.xml"/><Relationship Id="rId75" Type="http://schemas.openxmlformats.org/officeDocument/2006/relationships/image" Target="../media/image85.emf"/><Relationship Id="rId96" Type="http://schemas.openxmlformats.org/officeDocument/2006/relationships/control" Target="../activeX/activeX68.xml"/><Relationship Id="rId140" Type="http://schemas.openxmlformats.org/officeDocument/2006/relationships/control" Target="../activeX/activeX90.xml"/><Relationship Id="rId161" Type="http://schemas.openxmlformats.org/officeDocument/2006/relationships/image" Target="../media/image128.emf"/><Relationship Id="rId182" Type="http://schemas.openxmlformats.org/officeDocument/2006/relationships/control" Target="../activeX/activeX111.xml"/><Relationship Id="rId217" Type="http://schemas.openxmlformats.org/officeDocument/2006/relationships/image" Target="../media/image156.emf"/><Relationship Id="rId6" Type="http://schemas.openxmlformats.org/officeDocument/2006/relationships/control" Target="../activeX/activeX9.xml"/><Relationship Id="rId238" Type="http://schemas.openxmlformats.org/officeDocument/2006/relationships/control" Target="../activeX/activeX139.xml"/><Relationship Id="rId259" Type="http://schemas.openxmlformats.org/officeDocument/2006/relationships/image" Target="../media/image177.emf"/><Relationship Id="rId23" Type="http://schemas.openxmlformats.org/officeDocument/2006/relationships/control" Target="../activeX/activeX18.xml"/><Relationship Id="rId119" Type="http://schemas.openxmlformats.org/officeDocument/2006/relationships/image" Target="../media/image107.emf"/><Relationship Id="rId270" Type="http://schemas.openxmlformats.org/officeDocument/2006/relationships/control" Target="../activeX/activeX155.xml"/><Relationship Id="rId44" Type="http://schemas.openxmlformats.org/officeDocument/2006/relationships/control" Target="../activeX/activeX38.xml"/><Relationship Id="rId65" Type="http://schemas.openxmlformats.org/officeDocument/2006/relationships/image" Target="../media/image80.emf"/><Relationship Id="rId86" Type="http://schemas.openxmlformats.org/officeDocument/2006/relationships/control" Target="../activeX/activeX63.xml"/><Relationship Id="rId130" Type="http://schemas.openxmlformats.org/officeDocument/2006/relationships/control" Target="../activeX/activeX85.xml"/><Relationship Id="rId151" Type="http://schemas.openxmlformats.org/officeDocument/2006/relationships/image" Target="../media/image123.emf"/><Relationship Id="rId172" Type="http://schemas.openxmlformats.org/officeDocument/2006/relationships/control" Target="../activeX/activeX106.xml"/><Relationship Id="rId193" Type="http://schemas.openxmlformats.org/officeDocument/2006/relationships/image" Target="../media/image144.emf"/><Relationship Id="rId207" Type="http://schemas.openxmlformats.org/officeDocument/2006/relationships/image" Target="../media/image151.emf"/><Relationship Id="rId228" Type="http://schemas.openxmlformats.org/officeDocument/2006/relationships/control" Target="../activeX/activeX134.xml"/><Relationship Id="rId249" Type="http://schemas.openxmlformats.org/officeDocument/2006/relationships/image" Target="../media/image172.emf"/><Relationship Id="rId13" Type="http://schemas.openxmlformats.org/officeDocument/2006/relationships/image" Target="../media/image68.emf"/><Relationship Id="rId109" Type="http://schemas.openxmlformats.org/officeDocument/2006/relationships/image" Target="../media/image102.emf"/><Relationship Id="rId260" Type="http://schemas.openxmlformats.org/officeDocument/2006/relationships/control" Target="../activeX/activeX150.xml"/><Relationship Id="rId281" Type="http://schemas.openxmlformats.org/officeDocument/2006/relationships/image" Target="../media/image188.emf"/><Relationship Id="rId34" Type="http://schemas.openxmlformats.org/officeDocument/2006/relationships/control" Target="../activeX/activeX28.xml"/><Relationship Id="rId50" Type="http://schemas.openxmlformats.org/officeDocument/2006/relationships/control" Target="../activeX/activeX42.xml"/><Relationship Id="rId55" Type="http://schemas.openxmlformats.org/officeDocument/2006/relationships/control" Target="../activeX/activeX47.xml"/><Relationship Id="rId76" Type="http://schemas.openxmlformats.org/officeDocument/2006/relationships/control" Target="../activeX/activeX58.xml"/><Relationship Id="rId97" Type="http://schemas.openxmlformats.org/officeDocument/2006/relationships/image" Target="../media/image96.emf"/><Relationship Id="rId104" Type="http://schemas.openxmlformats.org/officeDocument/2006/relationships/control" Target="../activeX/activeX72.xml"/><Relationship Id="rId120" Type="http://schemas.openxmlformats.org/officeDocument/2006/relationships/control" Target="../activeX/activeX80.xml"/><Relationship Id="rId125" Type="http://schemas.openxmlformats.org/officeDocument/2006/relationships/image" Target="../media/image110.emf"/><Relationship Id="rId141" Type="http://schemas.openxmlformats.org/officeDocument/2006/relationships/image" Target="../media/image118.emf"/><Relationship Id="rId146" Type="http://schemas.openxmlformats.org/officeDocument/2006/relationships/control" Target="../activeX/activeX93.xml"/><Relationship Id="rId167" Type="http://schemas.openxmlformats.org/officeDocument/2006/relationships/image" Target="../media/image131.emf"/><Relationship Id="rId188" Type="http://schemas.openxmlformats.org/officeDocument/2006/relationships/control" Target="../activeX/activeX114.xml"/><Relationship Id="rId7" Type="http://schemas.openxmlformats.org/officeDocument/2006/relationships/image" Target="../media/image65.emf"/><Relationship Id="rId71" Type="http://schemas.openxmlformats.org/officeDocument/2006/relationships/image" Target="../media/image83.emf"/><Relationship Id="rId92" Type="http://schemas.openxmlformats.org/officeDocument/2006/relationships/control" Target="../activeX/activeX66.xml"/><Relationship Id="rId162" Type="http://schemas.openxmlformats.org/officeDocument/2006/relationships/control" Target="../activeX/activeX101.xml"/><Relationship Id="rId183" Type="http://schemas.openxmlformats.org/officeDocument/2006/relationships/image" Target="../media/image139.emf"/><Relationship Id="rId213" Type="http://schemas.openxmlformats.org/officeDocument/2006/relationships/image" Target="../media/image154.emf"/><Relationship Id="rId218" Type="http://schemas.openxmlformats.org/officeDocument/2006/relationships/control" Target="../activeX/activeX129.xml"/><Relationship Id="rId234" Type="http://schemas.openxmlformats.org/officeDocument/2006/relationships/control" Target="../activeX/activeX137.xml"/><Relationship Id="rId239" Type="http://schemas.openxmlformats.org/officeDocument/2006/relationships/image" Target="../media/image167.emf"/><Relationship Id="rId2" Type="http://schemas.openxmlformats.org/officeDocument/2006/relationships/drawing" Target="../drawings/drawing5.xml"/><Relationship Id="rId29" Type="http://schemas.openxmlformats.org/officeDocument/2006/relationships/control" Target="../activeX/activeX24.xml"/><Relationship Id="rId250" Type="http://schemas.openxmlformats.org/officeDocument/2006/relationships/control" Target="../activeX/activeX145.xml"/><Relationship Id="rId255" Type="http://schemas.openxmlformats.org/officeDocument/2006/relationships/image" Target="../media/image175.emf"/><Relationship Id="rId271" Type="http://schemas.openxmlformats.org/officeDocument/2006/relationships/image" Target="../media/image183.emf"/><Relationship Id="rId276" Type="http://schemas.openxmlformats.org/officeDocument/2006/relationships/control" Target="../activeX/activeX158.xml"/><Relationship Id="rId24" Type="http://schemas.openxmlformats.org/officeDocument/2006/relationships/control" Target="../activeX/activeX19.xml"/><Relationship Id="rId40" Type="http://schemas.openxmlformats.org/officeDocument/2006/relationships/control" Target="../activeX/activeX34.xml"/><Relationship Id="rId45" Type="http://schemas.openxmlformats.org/officeDocument/2006/relationships/control" Target="../activeX/activeX39.xml"/><Relationship Id="rId66" Type="http://schemas.openxmlformats.org/officeDocument/2006/relationships/control" Target="../activeX/activeX53.xml"/><Relationship Id="rId87" Type="http://schemas.openxmlformats.org/officeDocument/2006/relationships/image" Target="../media/image91.emf"/><Relationship Id="rId110" Type="http://schemas.openxmlformats.org/officeDocument/2006/relationships/control" Target="../activeX/activeX75.xml"/><Relationship Id="rId115" Type="http://schemas.openxmlformats.org/officeDocument/2006/relationships/image" Target="../media/image105.emf"/><Relationship Id="rId131" Type="http://schemas.openxmlformats.org/officeDocument/2006/relationships/image" Target="../media/image113.emf"/><Relationship Id="rId136" Type="http://schemas.openxmlformats.org/officeDocument/2006/relationships/control" Target="../activeX/activeX88.xml"/><Relationship Id="rId157" Type="http://schemas.openxmlformats.org/officeDocument/2006/relationships/image" Target="../media/image126.emf"/><Relationship Id="rId178" Type="http://schemas.openxmlformats.org/officeDocument/2006/relationships/control" Target="../activeX/activeX109.xml"/><Relationship Id="rId61" Type="http://schemas.openxmlformats.org/officeDocument/2006/relationships/image" Target="../media/image78.emf"/><Relationship Id="rId82" Type="http://schemas.openxmlformats.org/officeDocument/2006/relationships/control" Target="../activeX/activeX61.xml"/><Relationship Id="rId152" Type="http://schemas.openxmlformats.org/officeDocument/2006/relationships/control" Target="../activeX/activeX96.xml"/><Relationship Id="rId173" Type="http://schemas.openxmlformats.org/officeDocument/2006/relationships/image" Target="../media/image134.emf"/><Relationship Id="rId194" Type="http://schemas.openxmlformats.org/officeDocument/2006/relationships/control" Target="../activeX/activeX117.xml"/><Relationship Id="rId199" Type="http://schemas.openxmlformats.org/officeDocument/2006/relationships/image" Target="../media/image147.emf"/><Relationship Id="rId203" Type="http://schemas.openxmlformats.org/officeDocument/2006/relationships/image" Target="../media/image149.emf"/><Relationship Id="rId208" Type="http://schemas.openxmlformats.org/officeDocument/2006/relationships/control" Target="../activeX/activeX124.xml"/><Relationship Id="rId229" Type="http://schemas.openxmlformats.org/officeDocument/2006/relationships/image" Target="../media/image162.emf"/><Relationship Id="rId19" Type="http://schemas.openxmlformats.org/officeDocument/2006/relationships/image" Target="../media/image71.emf"/><Relationship Id="rId224" Type="http://schemas.openxmlformats.org/officeDocument/2006/relationships/control" Target="../activeX/activeX132.xml"/><Relationship Id="rId240" Type="http://schemas.openxmlformats.org/officeDocument/2006/relationships/control" Target="../activeX/activeX140.xml"/><Relationship Id="rId245" Type="http://schemas.openxmlformats.org/officeDocument/2006/relationships/image" Target="../media/image170.emf"/><Relationship Id="rId261" Type="http://schemas.openxmlformats.org/officeDocument/2006/relationships/image" Target="../media/image178.emf"/><Relationship Id="rId266" Type="http://schemas.openxmlformats.org/officeDocument/2006/relationships/control" Target="../activeX/activeX153.xml"/><Relationship Id="rId287" Type="http://schemas.openxmlformats.org/officeDocument/2006/relationships/image" Target="../media/image191.emf"/><Relationship Id="rId14" Type="http://schemas.openxmlformats.org/officeDocument/2006/relationships/control" Target="../activeX/activeX13.xml"/><Relationship Id="rId30" Type="http://schemas.openxmlformats.org/officeDocument/2006/relationships/control" Target="../activeX/activeX25.xml"/><Relationship Id="rId35" Type="http://schemas.openxmlformats.org/officeDocument/2006/relationships/control" Target="../activeX/activeX29.xml"/><Relationship Id="rId56" Type="http://schemas.openxmlformats.org/officeDocument/2006/relationships/control" Target="../activeX/activeX48.xml"/><Relationship Id="rId77" Type="http://schemas.openxmlformats.org/officeDocument/2006/relationships/image" Target="../media/image86.emf"/><Relationship Id="rId100" Type="http://schemas.openxmlformats.org/officeDocument/2006/relationships/control" Target="../activeX/activeX70.xml"/><Relationship Id="rId105" Type="http://schemas.openxmlformats.org/officeDocument/2006/relationships/image" Target="../media/image100.emf"/><Relationship Id="rId126" Type="http://schemas.openxmlformats.org/officeDocument/2006/relationships/control" Target="../activeX/activeX83.xml"/><Relationship Id="rId147" Type="http://schemas.openxmlformats.org/officeDocument/2006/relationships/image" Target="../media/image121.emf"/><Relationship Id="rId168" Type="http://schemas.openxmlformats.org/officeDocument/2006/relationships/control" Target="../activeX/activeX104.xml"/><Relationship Id="rId282" Type="http://schemas.openxmlformats.org/officeDocument/2006/relationships/control" Target="../activeX/activeX161.xml"/><Relationship Id="rId8" Type="http://schemas.openxmlformats.org/officeDocument/2006/relationships/control" Target="../activeX/activeX10.xml"/><Relationship Id="rId51" Type="http://schemas.openxmlformats.org/officeDocument/2006/relationships/control" Target="../activeX/activeX43.xml"/><Relationship Id="rId72" Type="http://schemas.openxmlformats.org/officeDocument/2006/relationships/control" Target="../activeX/activeX56.xml"/><Relationship Id="rId93" Type="http://schemas.openxmlformats.org/officeDocument/2006/relationships/image" Target="../media/image94.emf"/><Relationship Id="rId98" Type="http://schemas.openxmlformats.org/officeDocument/2006/relationships/control" Target="../activeX/activeX69.xml"/><Relationship Id="rId121" Type="http://schemas.openxmlformats.org/officeDocument/2006/relationships/image" Target="../media/image108.emf"/><Relationship Id="rId142" Type="http://schemas.openxmlformats.org/officeDocument/2006/relationships/control" Target="../activeX/activeX91.xml"/><Relationship Id="rId163" Type="http://schemas.openxmlformats.org/officeDocument/2006/relationships/image" Target="../media/image129.emf"/><Relationship Id="rId184" Type="http://schemas.openxmlformats.org/officeDocument/2006/relationships/control" Target="../activeX/activeX112.xml"/><Relationship Id="rId189" Type="http://schemas.openxmlformats.org/officeDocument/2006/relationships/image" Target="../media/image142.emf"/><Relationship Id="rId219" Type="http://schemas.openxmlformats.org/officeDocument/2006/relationships/image" Target="../media/image157.emf"/><Relationship Id="rId3" Type="http://schemas.openxmlformats.org/officeDocument/2006/relationships/vmlDrawing" Target="../drawings/vmlDrawing5.vml"/><Relationship Id="rId214" Type="http://schemas.openxmlformats.org/officeDocument/2006/relationships/control" Target="../activeX/activeX127.xml"/><Relationship Id="rId230" Type="http://schemas.openxmlformats.org/officeDocument/2006/relationships/control" Target="../activeX/activeX135.xml"/><Relationship Id="rId235" Type="http://schemas.openxmlformats.org/officeDocument/2006/relationships/image" Target="../media/image165.emf"/><Relationship Id="rId251" Type="http://schemas.openxmlformats.org/officeDocument/2006/relationships/image" Target="../media/image173.emf"/><Relationship Id="rId256" Type="http://schemas.openxmlformats.org/officeDocument/2006/relationships/control" Target="../activeX/activeX148.xml"/><Relationship Id="rId277" Type="http://schemas.openxmlformats.org/officeDocument/2006/relationships/image" Target="../media/image186.emf"/><Relationship Id="rId25" Type="http://schemas.openxmlformats.org/officeDocument/2006/relationships/control" Target="../activeX/activeX20.xml"/><Relationship Id="rId46" Type="http://schemas.openxmlformats.org/officeDocument/2006/relationships/image" Target="../media/image74.emf"/><Relationship Id="rId67" Type="http://schemas.openxmlformats.org/officeDocument/2006/relationships/image" Target="../media/image81.emf"/><Relationship Id="rId116" Type="http://schemas.openxmlformats.org/officeDocument/2006/relationships/control" Target="../activeX/activeX78.xml"/><Relationship Id="rId137" Type="http://schemas.openxmlformats.org/officeDocument/2006/relationships/image" Target="../media/image116.emf"/><Relationship Id="rId158" Type="http://schemas.openxmlformats.org/officeDocument/2006/relationships/control" Target="../activeX/activeX99.xml"/><Relationship Id="rId272" Type="http://schemas.openxmlformats.org/officeDocument/2006/relationships/control" Target="../activeX/activeX156.xml"/><Relationship Id="rId20" Type="http://schemas.openxmlformats.org/officeDocument/2006/relationships/control" Target="../activeX/activeX16.xml"/><Relationship Id="rId41" Type="http://schemas.openxmlformats.org/officeDocument/2006/relationships/control" Target="../activeX/activeX35.xml"/><Relationship Id="rId62" Type="http://schemas.openxmlformats.org/officeDocument/2006/relationships/control" Target="../activeX/activeX51.xml"/><Relationship Id="rId83" Type="http://schemas.openxmlformats.org/officeDocument/2006/relationships/image" Target="../media/image89.emf"/><Relationship Id="rId88" Type="http://schemas.openxmlformats.org/officeDocument/2006/relationships/control" Target="../activeX/activeX64.xml"/><Relationship Id="rId111" Type="http://schemas.openxmlformats.org/officeDocument/2006/relationships/image" Target="../media/image103.emf"/><Relationship Id="rId132" Type="http://schemas.openxmlformats.org/officeDocument/2006/relationships/control" Target="../activeX/activeX86.xml"/><Relationship Id="rId153" Type="http://schemas.openxmlformats.org/officeDocument/2006/relationships/image" Target="../media/image124.emf"/><Relationship Id="rId174" Type="http://schemas.openxmlformats.org/officeDocument/2006/relationships/control" Target="../activeX/activeX107.xml"/><Relationship Id="rId179" Type="http://schemas.openxmlformats.org/officeDocument/2006/relationships/image" Target="../media/image137.emf"/><Relationship Id="rId195" Type="http://schemas.openxmlformats.org/officeDocument/2006/relationships/image" Target="../media/image145.emf"/><Relationship Id="rId209" Type="http://schemas.openxmlformats.org/officeDocument/2006/relationships/image" Target="../media/image152.emf"/><Relationship Id="rId190" Type="http://schemas.openxmlformats.org/officeDocument/2006/relationships/control" Target="../activeX/activeX115.xml"/><Relationship Id="rId204" Type="http://schemas.openxmlformats.org/officeDocument/2006/relationships/control" Target="../activeX/activeX122.xml"/><Relationship Id="rId220" Type="http://schemas.openxmlformats.org/officeDocument/2006/relationships/control" Target="../activeX/activeX130.xml"/><Relationship Id="rId225" Type="http://schemas.openxmlformats.org/officeDocument/2006/relationships/image" Target="../media/image160.emf"/><Relationship Id="rId241" Type="http://schemas.openxmlformats.org/officeDocument/2006/relationships/image" Target="../media/image168.emf"/><Relationship Id="rId246" Type="http://schemas.openxmlformats.org/officeDocument/2006/relationships/control" Target="../activeX/activeX143.xml"/><Relationship Id="rId267" Type="http://schemas.openxmlformats.org/officeDocument/2006/relationships/image" Target="../media/image181.emf"/><Relationship Id="rId288" Type="http://schemas.openxmlformats.org/officeDocument/2006/relationships/control" Target="../activeX/activeX164.xml"/><Relationship Id="rId15" Type="http://schemas.openxmlformats.org/officeDocument/2006/relationships/image" Target="../media/image69.emf"/><Relationship Id="rId36" Type="http://schemas.openxmlformats.org/officeDocument/2006/relationships/control" Target="../activeX/activeX30.xml"/><Relationship Id="rId57" Type="http://schemas.openxmlformats.org/officeDocument/2006/relationships/image" Target="../media/image76.emf"/><Relationship Id="rId106" Type="http://schemas.openxmlformats.org/officeDocument/2006/relationships/control" Target="../activeX/activeX73.xml"/><Relationship Id="rId127" Type="http://schemas.openxmlformats.org/officeDocument/2006/relationships/image" Target="../media/image111.emf"/><Relationship Id="rId262" Type="http://schemas.openxmlformats.org/officeDocument/2006/relationships/control" Target="../activeX/activeX151.xml"/><Relationship Id="rId283" Type="http://schemas.openxmlformats.org/officeDocument/2006/relationships/image" Target="../media/image189.emf"/><Relationship Id="rId10" Type="http://schemas.openxmlformats.org/officeDocument/2006/relationships/control" Target="../activeX/activeX11.xml"/><Relationship Id="rId31" Type="http://schemas.openxmlformats.org/officeDocument/2006/relationships/control" Target="../activeX/activeX26.xml"/><Relationship Id="rId52" Type="http://schemas.openxmlformats.org/officeDocument/2006/relationships/control" Target="../activeX/activeX44.xml"/><Relationship Id="rId73" Type="http://schemas.openxmlformats.org/officeDocument/2006/relationships/image" Target="../media/image84.emf"/><Relationship Id="rId78" Type="http://schemas.openxmlformats.org/officeDocument/2006/relationships/control" Target="../activeX/activeX59.xml"/><Relationship Id="rId94" Type="http://schemas.openxmlformats.org/officeDocument/2006/relationships/control" Target="../activeX/activeX67.xml"/><Relationship Id="rId99" Type="http://schemas.openxmlformats.org/officeDocument/2006/relationships/image" Target="../media/image97.emf"/><Relationship Id="rId101" Type="http://schemas.openxmlformats.org/officeDocument/2006/relationships/image" Target="../media/image98.emf"/><Relationship Id="rId122" Type="http://schemas.openxmlformats.org/officeDocument/2006/relationships/control" Target="../activeX/activeX81.xml"/><Relationship Id="rId143" Type="http://schemas.openxmlformats.org/officeDocument/2006/relationships/image" Target="../media/image119.emf"/><Relationship Id="rId148" Type="http://schemas.openxmlformats.org/officeDocument/2006/relationships/control" Target="../activeX/activeX94.xml"/><Relationship Id="rId164" Type="http://schemas.openxmlformats.org/officeDocument/2006/relationships/control" Target="../activeX/activeX102.xml"/><Relationship Id="rId169" Type="http://schemas.openxmlformats.org/officeDocument/2006/relationships/image" Target="../media/image132.emf"/><Relationship Id="rId185" Type="http://schemas.openxmlformats.org/officeDocument/2006/relationships/image" Target="../media/image140.emf"/><Relationship Id="rId4" Type="http://schemas.openxmlformats.org/officeDocument/2006/relationships/control" Target="../activeX/activeX8.xml"/><Relationship Id="rId9" Type="http://schemas.openxmlformats.org/officeDocument/2006/relationships/image" Target="../media/image66.emf"/><Relationship Id="rId180" Type="http://schemas.openxmlformats.org/officeDocument/2006/relationships/control" Target="../activeX/activeX110.xml"/><Relationship Id="rId210" Type="http://schemas.openxmlformats.org/officeDocument/2006/relationships/control" Target="../activeX/activeX125.xml"/><Relationship Id="rId215" Type="http://schemas.openxmlformats.org/officeDocument/2006/relationships/image" Target="../media/image155.emf"/><Relationship Id="rId236" Type="http://schemas.openxmlformats.org/officeDocument/2006/relationships/control" Target="../activeX/activeX138.xml"/><Relationship Id="rId257" Type="http://schemas.openxmlformats.org/officeDocument/2006/relationships/image" Target="../media/image176.emf"/><Relationship Id="rId278" Type="http://schemas.openxmlformats.org/officeDocument/2006/relationships/control" Target="../activeX/activeX159.xml"/><Relationship Id="rId26" Type="http://schemas.openxmlformats.org/officeDocument/2006/relationships/control" Target="../activeX/activeX21.xml"/><Relationship Id="rId231" Type="http://schemas.openxmlformats.org/officeDocument/2006/relationships/image" Target="../media/image163.emf"/><Relationship Id="rId252" Type="http://schemas.openxmlformats.org/officeDocument/2006/relationships/control" Target="../activeX/activeX146.xml"/><Relationship Id="rId273" Type="http://schemas.openxmlformats.org/officeDocument/2006/relationships/image" Target="../media/image184.emf"/><Relationship Id="rId47" Type="http://schemas.openxmlformats.org/officeDocument/2006/relationships/control" Target="../activeX/activeX40.xml"/><Relationship Id="rId68" Type="http://schemas.openxmlformats.org/officeDocument/2006/relationships/control" Target="../activeX/activeX54.xml"/><Relationship Id="rId89" Type="http://schemas.openxmlformats.org/officeDocument/2006/relationships/image" Target="../media/image92.emf"/><Relationship Id="rId112" Type="http://schemas.openxmlformats.org/officeDocument/2006/relationships/control" Target="../activeX/activeX76.xml"/><Relationship Id="rId133" Type="http://schemas.openxmlformats.org/officeDocument/2006/relationships/image" Target="../media/image114.emf"/><Relationship Id="rId154" Type="http://schemas.openxmlformats.org/officeDocument/2006/relationships/control" Target="../activeX/activeX97.xml"/><Relationship Id="rId175" Type="http://schemas.openxmlformats.org/officeDocument/2006/relationships/image" Target="../media/image135.emf"/><Relationship Id="rId196" Type="http://schemas.openxmlformats.org/officeDocument/2006/relationships/control" Target="../activeX/activeX118.xml"/><Relationship Id="rId200" Type="http://schemas.openxmlformats.org/officeDocument/2006/relationships/control" Target="../activeX/activeX120.xml"/><Relationship Id="rId16" Type="http://schemas.openxmlformats.org/officeDocument/2006/relationships/control" Target="../activeX/activeX14.xml"/><Relationship Id="rId221" Type="http://schemas.openxmlformats.org/officeDocument/2006/relationships/image" Target="../media/image158.emf"/><Relationship Id="rId242" Type="http://schemas.openxmlformats.org/officeDocument/2006/relationships/control" Target="../activeX/activeX141.xml"/><Relationship Id="rId263" Type="http://schemas.openxmlformats.org/officeDocument/2006/relationships/image" Target="../media/image179.emf"/><Relationship Id="rId284" Type="http://schemas.openxmlformats.org/officeDocument/2006/relationships/control" Target="../activeX/activeX162.xml"/><Relationship Id="rId37" Type="http://schemas.openxmlformats.org/officeDocument/2006/relationships/control" Target="../activeX/activeX31.xml"/><Relationship Id="rId58" Type="http://schemas.openxmlformats.org/officeDocument/2006/relationships/control" Target="../activeX/activeX49.xml"/><Relationship Id="rId79" Type="http://schemas.openxmlformats.org/officeDocument/2006/relationships/image" Target="../media/image87.emf"/><Relationship Id="rId102" Type="http://schemas.openxmlformats.org/officeDocument/2006/relationships/control" Target="../activeX/activeX71.xml"/><Relationship Id="rId123" Type="http://schemas.openxmlformats.org/officeDocument/2006/relationships/image" Target="../media/image109.emf"/><Relationship Id="rId144" Type="http://schemas.openxmlformats.org/officeDocument/2006/relationships/control" Target="../activeX/activeX92.xml"/><Relationship Id="rId90" Type="http://schemas.openxmlformats.org/officeDocument/2006/relationships/control" Target="../activeX/activeX65.xml"/><Relationship Id="rId165" Type="http://schemas.openxmlformats.org/officeDocument/2006/relationships/image" Target="../media/image130.emf"/><Relationship Id="rId186" Type="http://schemas.openxmlformats.org/officeDocument/2006/relationships/control" Target="../activeX/activeX113.xml"/><Relationship Id="rId211" Type="http://schemas.openxmlformats.org/officeDocument/2006/relationships/image" Target="../media/image153.emf"/><Relationship Id="rId232" Type="http://schemas.openxmlformats.org/officeDocument/2006/relationships/control" Target="../activeX/activeX136.xml"/><Relationship Id="rId253" Type="http://schemas.openxmlformats.org/officeDocument/2006/relationships/image" Target="../media/image174.emf"/><Relationship Id="rId274" Type="http://schemas.openxmlformats.org/officeDocument/2006/relationships/control" Target="../activeX/activeX157.xml"/><Relationship Id="rId27" Type="http://schemas.openxmlformats.org/officeDocument/2006/relationships/control" Target="../activeX/activeX22.xml"/><Relationship Id="rId48" Type="http://schemas.openxmlformats.org/officeDocument/2006/relationships/image" Target="../media/image75.emf"/><Relationship Id="rId69" Type="http://schemas.openxmlformats.org/officeDocument/2006/relationships/image" Target="../media/image82.emf"/><Relationship Id="rId113" Type="http://schemas.openxmlformats.org/officeDocument/2006/relationships/image" Target="../media/image104.emf"/><Relationship Id="rId134" Type="http://schemas.openxmlformats.org/officeDocument/2006/relationships/control" Target="../activeX/activeX87.xml"/><Relationship Id="rId80" Type="http://schemas.openxmlformats.org/officeDocument/2006/relationships/control" Target="../activeX/activeX60.xml"/><Relationship Id="rId155" Type="http://schemas.openxmlformats.org/officeDocument/2006/relationships/image" Target="../media/image125.emf"/><Relationship Id="rId176" Type="http://schemas.openxmlformats.org/officeDocument/2006/relationships/control" Target="../activeX/activeX108.xml"/><Relationship Id="rId197" Type="http://schemas.openxmlformats.org/officeDocument/2006/relationships/image" Target="../media/image146.emf"/><Relationship Id="rId201" Type="http://schemas.openxmlformats.org/officeDocument/2006/relationships/image" Target="../media/image148.emf"/><Relationship Id="rId222" Type="http://schemas.openxmlformats.org/officeDocument/2006/relationships/control" Target="../activeX/activeX131.xml"/><Relationship Id="rId243" Type="http://schemas.openxmlformats.org/officeDocument/2006/relationships/image" Target="../media/image169.emf"/><Relationship Id="rId264" Type="http://schemas.openxmlformats.org/officeDocument/2006/relationships/control" Target="../activeX/activeX152.xml"/><Relationship Id="rId285" Type="http://schemas.openxmlformats.org/officeDocument/2006/relationships/image" Target="../media/image190.emf"/><Relationship Id="rId17" Type="http://schemas.openxmlformats.org/officeDocument/2006/relationships/image" Target="../media/image70.emf"/><Relationship Id="rId38" Type="http://schemas.openxmlformats.org/officeDocument/2006/relationships/control" Target="../activeX/activeX32.xml"/><Relationship Id="rId59" Type="http://schemas.openxmlformats.org/officeDocument/2006/relationships/image" Target="../media/image77.emf"/><Relationship Id="rId103" Type="http://schemas.openxmlformats.org/officeDocument/2006/relationships/image" Target="../media/image99.emf"/><Relationship Id="rId124" Type="http://schemas.openxmlformats.org/officeDocument/2006/relationships/control" Target="../activeX/activeX82.xml"/><Relationship Id="rId70" Type="http://schemas.openxmlformats.org/officeDocument/2006/relationships/control" Target="../activeX/activeX55.xml"/><Relationship Id="rId91" Type="http://schemas.openxmlformats.org/officeDocument/2006/relationships/image" Target="../media/image93.emf"/><Relationship Id="rId145" Type="http://schemas.openxmlformats.org/officeDocument/2006/relationships/image" Target="../media/image120.emf"/><Relationship Id="rId166" Type="http://schemas.openxmlformats.org/officeDocument/2006/relationships/control" Target="../activeX/activeX103.xml"/><Relationship Id="rId187" Type="http://schemas.openxmlformats.org/officeDocument/2006/relationships/image" Target="../media/image141.emf"/><Relationship Id="rId1" Type="http://schemas.openxmlformats.org/officeDocument/2006/relationships/printerSettings" Target="../printerSettings/printerSettings7.bin"/><Relationship Id="rId212" Type="http://schemas.openxmlformats.org/officeDocument/2006/relationships/control" Target="../activeX/activeX126.xml"/><Relationship Id="rId233" Type="http://schemas.openxmlformats.org/officeDocument/2006/relationships/image" Target="../media/image164.emf"/><Relationship Id="rId254" Type="http://schemas.openxmlformats.org/officeDocument/2006/relationships/control" Target="../activeX/activeX147.xml"/><Relationship Id="rId28" Type="http://schemas.openxmlformats.org/officeDocument/2006/relationships/control" Target="../activeX/activeX23.xml"/><Relationship Id="rId49" Type="http://schemas.openxmlformats.org/officeDocument/2006/relationships/control" Target="../activeX/activeX41.xml"/><Relationship Id="rId114" Type="http://schemas.openxmlformats.org/officeDocument/2006/relationships/control" Target="../activeX/activeX77.xml"/><Relationship Id="rId275" Type="http://schemas.openxmlformats.org/officeDocument/2006/relationships/image" Target="../media/image185.emf"/><Relationship Id="rId60" Type="http://schemas.openxmlformats.org/officeDocument/2006/relationships/control" Target="../activeX/activeX50.xml"/><Relationship Id="rId81" Type="http://schemas.openxmlformats.org/officeDocument/2006/relationships/image" Target="../media/image88.emf"/><Relationship Id="rId135" Type="http://schemas.openxmlformats.org/officeDocument/2006/relationships/image" Target="../media/image115.emf"/><Relationship Id="rId156" Type="http://schemas.openxmlformats.org/officeDocument/2006/relationships/control" Target="../activeX/activeX98.xml"/><Relationship Id="rId177" Type="http://schemas.openxmlformats.org/officeDocument/2006/relationships/image" Target="../media/image136.emf"/><Relationship Id="rId198" Type="http://schemas.openxmlformats.org/officeDocument/2006/relationships/control" Target="../activeX/activeX119.xml"/><Relationship Id="rId202" Type="http://schemas.openxmlformats.org/officeDocument/2006/relationships/control" Target="../activeX/activeX121.xml"/><Relationship Id="rId223" Type="http://schemas.openxmlformats.org/officeDocument/2006/relationships/image" Target="../media/image159.emf"/><Relationship Id="rId244" Type="http://schemas.openxmlformats.org/officeDocument/2006/relationships/control" Target="../activeX/activeX142.xml"/><Relationship Id="rId18" Type="http://schemas.openxmlformats.org/officeDocument/2006/relationships/control" Target="../activeX/activeX15.xml"/><Relationship Id="rId39" Type="http://schemas.openxmlformats.org/officeDocument/2006/relationships/control" Target="../activeX/activeX33.xml"/><Relationship Id="rId265" Type="http://schemas.openxmlformats.org/officeDocument/2006/relationships/image" Target="../media/image180.emf"/><Relationship Id="rId286" Type="http://schemas.openxmlformats.org/officeDocument/2006/relationships/control" Target="../activeX/activeX163.xml"/></Relationships>
</file>

<file path=xl/worksheets/_rels/sheet9.xml.rels><?xml version="1.0" encoding="UTF-8" standalone="yes"?>
<Relationships xmlns="http://schemas.openxmlformats.org/package/2006/relationships"><Relationship Id="rId117" Type="http://schemas.openxmlformats.org/officeDocument/2006/relationships/control" Target="../activeX/activeX236.xml"/><Relationship Id="rId21" Type="http://schemas.openxmlformats.org/officeDocument/2006/relationships/control" Target="../activeX/activeX176.xml"/><Relationship Id="rId42" Type="http://schemas.openxmlformats.org/officeDocument/2006/relationships/image" Target="../media/image74.emf"/><Relationship Id="rId63" Type="http://schemas.openxmlformats.org/officeDocument/2006/relationships/control" Target="../activeX/activeX209.xml"/><Relationship Id="rId84" Type="http://schemas.openxmlformats.org/officeDocument/2006/relationships/image" Target="../media/image214.emf"/><Relationship Id="rId138" Type="http://schemas.openxmlformats.org/officeDocument/2006/relationships/image" Target="../media/image241.emf"/><Relationship Id="rId159" Type="http://schemas.openxmlformats.org/officeDocument/2006/relationships/control" Target="../activeX/activeX257.xml"/><Relationship Id="rId170" Type="http://schemas.openxmlformats.org/officeDocument/2006/relationships/image" Target="../media/image257.emf"/><Relationship Id="rId191" Type="http://schemas.openxmlformats.org/officeDocument/2006/relationships/control" Target="../activeX/activeX273.xml"/><Relationship Id="rId205" Type="http://schemas.openxmlformats.org/officeDocument/2006/relationships/control" Target="../activeX/activeX280.xml"/><Relationship Id="rId226" Type="http://schemas.openxmlformats.org/officeDocument/2006/relationships/image" Target="../media/image285.emf"/><Relationship Id="rId247" Type="http://schemas.openxmlformats.org/officeDocument/2006/relationships/control" Target="../activeX/activeX301.xml"/><Relationship Id="rId107" Type="http://schemas.openxmlformats.org/officeDocument/2006/relationships/control" Target="../activeX/activeX231.xml"/><Relationship Id="rId268" Type="http://schemas.openxmlformats.org/officeDocument/2006/relationships/image" Target="../media/image306.emf"/><Relationship Id="rId11" Type="http://schemas.openxmlformats.org/officeDocument/2006/relationships/image" Target="../media/image196.emf"/><Relationship Id="rId32" Type="http://schemas.openxmlformats.org/officeDocument/2006/relationships/control" Target="../activeX/activeX187.xml"/><Relationship Id="rId53" Type="http://schemas.openxmlformats.org/officeDocument/2006/relationships/control" Target="../activeX/activeX204.xml"/><Relationship Id="rId74" Type="http://schemas.openxmlformats.org/officeDocument/2006/relationships/image" Target="../media/image209.emf"/><Relationship Id="rId128" Type="http://schemas.openxmlformats.org/officeDocument/2006/relationships/image" Target="../media/image236.emf"/><Relationship Id="rId149" Type="http://schemas.openxmlformats.org/officeDocument/2006/relationships/control" Target="../activeX/activeX252.xml"/><Relationship Id="rId5" Type="http://schemas.openxmlformats.org/officeDocument/2006/relationships/image" Target="../media/image193.emf"/><Relationship Id="rId95" Type="http://schemas.openxmlformats.org/officeDocument/2006/relationships/control" Target="../activeX/activeX225.xml"/><Relationship Id="rId160" Type="http://schemas.openxmlformats.org/officeDocument/2006/relationships/image" Target="../media/image252.emf"/><Relationship Id="rId181" Type="http://schemas.openxmlformats.org/officeDocument/2006/relationships/control" Target="../activeX/activeX268.xml"/><Relationship Id="rId216" Type="http://schemas.openxmlformats.org/officeDocument/2006/relationships/image" Target="../media/image280.emf"/><Relationship Id="rId237" Type="http://schemas.openxmlformats.org/officeDocument/2006/relationships/control" Target="../activeX/activeX296.xml"/><Relationship Id="rId258" Type="http://schemas.openxmlformats.org/officeDocument/2006/relationships/image" Target="../media/image301.emf"/><Relationship Id="rId279" Type="http://schemas.openxmlformats.org/officeDocument/2006/relationships/control" Target="../activeX/activeX317.xml"/><Relationship Id="rId22" Type="http://schemas.openxmlformats.org/officeDocument/2006/relationships/control" Target="../activeX/activeX177.xml"/><Relationship Id="rId43" Type="http://schemas.openxmlformats.org/officeDocument/2006/relationships/control" Target="../activeX/activeX196.xml"/><Relationship Id="rId64" Type="http://schemas.openxmlformats.org/officeDocument/2006/relationships/image" Target="../media/image204.emf"/><Relationship Id="rId118" Type="http://schemas.openxmlformats.org/officeDocument/2006/relationships/image" Target="../media/image231.emf"/><Relationship Id="rId139" Type="http://schemas.openxmlformats.org/officeDocument/2006/relationships/control" Target="../activeX/activeX247.xml"/><Relationship Id="rId85" Type="http://schemas.openxmlformats.org/officeDocument/2006/relationships/control" Target="../activeX/activeX220.xml"/><Relationship Id="rId150" Type="http://schemas.openxmlformats.org/officeDocument/2006/relationships/image" Target="../media/image247.emf"/><Relationship Id="rId171" Type="http://schemas.openxmlformats.org/officeDocument/2006/relationships/control" Target="../activeX/activeX263.xml"/><Relationship Id="rId192" Type="http://schemas.openxmlformats.org/officeDocument/2006/relationships/image" Target="../media/image268.emf"/><Relationship Id="rId206" Type="http://schemas.openxmlformats.org/officeDocument/2006/relationships/image" Target="../media/image275.emf"/><Relationship Id="rId227" Type="http://schemas.openxmlformats.org/officeDocument/2006/relationships/control" Target="../activeX/activeX291.xml"/><Relationship Id="rId248" Type="http://schemas.openxmlformats.org/officeDocument/2006/relationships/image" Target="../media/image296.emf"/><Relationship Id="rId269" Type="http://schemas.openxmlformats.org/officeDocument/2006/relationships/control" Target="../activeX/activeX312.xml"/><Relationship Id="rId12" Type="http://schemas.openxmlformats.org/officeDocument/2006/relationships/control" Target="../activeX/activeX169.xml"/><Relationship Id="rId33" Type="http://schemas.openxmlformats.org/officeDocument/2006/relationships/control" Target="../activeX/activeX188.xml"/><Relationship Id="rId108" Type="http://schemas.openxmlformats.org/officeDocument/2006/relationships/image" Target="../media/image226.emf"/><Relationship Id="rId129" Type="http://schemas.openxmlformats.org/officeDocument/2006/relationships/control" Target="../activeX/activeX242.xml"/><Relationship Id="rId280" Type="http://schemas.openxmlformats.org/officeDocument/2006/relationships/image" Target="../media/image312.emf"/><Relationship Id="rId54" Type="http://schemas.openxmlformats.org/officeDocument/2006/relationships/image" Target="../media/image199.emf"/><Relationship Id="rId75" Type="http://schemas.openxmlformats.org/officeDocument/2006/relationships/control" Target="../activeX/activeX215.xml"/><Relationship Id="rId96" Type="http://schemas.openxmlformats.org/officeDocument/2006/relationships/image" Target="../media/image220.emf"/><Relationship Id="rId140" Type="http://schemas.openxmlformats.org/officeDocument/2006/relationships/image" Target="../media/image242.emf"/><Relationship Id="rId161" Type="http://schemas.openxmlformats.org/officeDocument/2006/relationships/control" Target="../activeX/activeX258.xml"/><Relationship Id="rId182" Type="http://schemas.openxmlformats.org/officeDocument/2006/relationships/image" Target="../media/image263.emf"/><Relationship Id="rId217" Type="http://schemas.openxmlformats.org/officeDocument/2006/relationships/control" Target="../activeX/activeX286.xml"/><Relationship Id="rId6" Type="http://schemas.openxmlformats.org/officeDocument/2006/relationships/control" Target="../activeX/activeX166.xml"/><Relationship Id="rId238" Type="http://schemas.openxmlformats.org/officeDocument/2006/relationships/image" Target="../media/image291.emf"/><Relationship Id="rId259" Type="http://schemas.openxmlformats.org/officeDocument/2006/relationships/control" Target="../activeX/activeX307.xml"/><Relationship Id="rId23" Type="http://schemas.openxmlformats.org/officeDocument/2006/relationships/control" Target="../activeX/activeX178.xml"/><Relationship Id="rId119" Type="http://schemas.openxmlformats.org/officeDocument/2006/relationships/control" Target="../activeX/activeX237.xml"/><Relationship Id="rId270" Type="http://schemas.openxmlformats.org/officeDocument/2006/relationships/image" Target="../media/image307.emf"/><Relationship Id="rId44" Type="http://schemas.openxmlformats.org/officeDocument/2006/relationships/control" Target="../activeX/activeX197.xml"/><Relationship Id="rId65" Type="http://schemas.openxmlformats.org/officeDocument/2006/relationships/control" Target="../activeX/activeX210.xml"/><Relationship Id="rId86" Type="http://schemas.openxmlformats.org/officeDocument/2006/relationships/image" Target="../media/image215.emf"/><Relationship Id="rId130" Type="http://schemas.openxmlformats.org/officeDocument/2006/relationships/image" Target="../media/image237.emf"/><Relationship Id="rId151" Type="http://schemas.openxmlformats.org/officeDocument/2006/relationships/control" Target="../activeX/activeX253.xml"/><Relationship Id="rId172" Type="http://schemas.openxmlformats.org/officeDocument/2006/relationships/image" Target="../media/image258.emf"/><Relationship Id="rId193" Type="http://schemas.openxmlformats.org/officeDocument/2006/relationships/control" Target="../activeX/activeX274.xml"/><Relationship Id="rId202" Type="http://schemas.openxmlformats.org/officeDocument/2006/relationships/image" Target="../media/image273.emf"/><Relationship Id="rId207" Type="http://schemas.openxmlformats.org/officeDocument/2006/relationships/control" Target="../activeX/activeX281.xml"/><Relationship Id="rId223" Type="http://schemas.openxmlformats.org/officeDocument/2006/relationships/control" Target="../activeX/activeX289.xml"/><Relationship Id="rId228" Type="http://schemas.openxmlformats.org/officeDocument/2006/relationships/image" Target="../media/image286.emf"/><Relationship Id="rId244" Type="http://schemas.openxmlformats.org/officeDocument/2006/relationships/image" Target="../media/image294.emf"/><Relationship Id="rId249" Type="http://schemas.openxmlformats.org/officeDocument/2006/relationships/control" Target="../activeX/activeX302.xml"/><Relationship Id="rId13" Type="http://schemas.openxmlformats.org/officeDocument/2006/relationships/image" Target="../media/image71.emf"/><Relationship Id="rId18" Type="http://schemas.openxmlformats.org/officeDocument/2006/relationships/control" Target="../activeX/activeX173.xml"/><Relationship Id="rId39" Type="http://schemas.openxmlformats.org/officeDocument/2006/relationships/image" Target="../media/image75.emf"/><Relationship Id="rId109" Type="http://schemas.openxmlformats.org/officeDocument/2006/relationships/control" Target="../activeX/activeX232.xml"/><Relationship Id="rId260" Type="http://schemas.openxmlformats.org/officeDocument/2006/relationships/image" Target="../media/image302.emf"/><Relationship Id="rId265" Type="http://schemas.openxmlformats.org/officeDocument/2006/relationships/control" Target="../activeX/activeX310.xml"/><Relationship Id="rId281" Type="http://schemas.openxmlformats.org/officeDocument/2006/relationships/control" Target="../activeX/activeX318.xml"/><Relationship Id="rId34" Type="http://schemas.openxmlformats.org/officeDocument/2006/relationships/control" Target="../activeX/activeX189.xml"/><Relationship Id="rId50" Type="http://schemas.openxmlformats.org/officeDocument/2006/relationships/image" Target="../media/image197.emf"/><Relationship Id="rId55" Type="http://schemas.openxmlformats.org/officeDocument/2006/relationships/control" Target="../activeX/activeX205.xml"/><Relationship Id="rId76" Type="http://schemas.openxmlformats.org/officeDocument/2006/relationships/image" Target="../media/image210.emf"/><Relationship Id="rId97" Type="http://schemas.openxmlformats.org/officeDocument/2006/relationships/control" Target="../activeX/activeX226.xml"/><Relationship Id="rId104" Type="http://schemas.openxmlformats.org/officeDocument/2006/relationships/image" Target="../media/image224.emf"/><Relationship Id="rId120" Type="http://schemas.openxmlformats.org/officeDocument/2006/relationships/image" Target="../media/image232.emf"/><Relationship Id="rId125" Type="http://schemas.openxmlformats.org/officeDocument/2006/relationships/control" Target="../activeX/activeX240.xml"/><Relationship Id="rId141" Type="http://schemas.openxmlformats.org/officeDocument/2006/relationships/control" Target="../activeX/activeX248.xml"/><Relationship Id="rId146" Type="http://schemas.openxmlformats.org/officeDocument/2006/relationships/image" Target="../media/image245.emf"/><Relationship Id="rId167" Type="http://schemas.openxmlformats.org/officeDocument/2006/relationships/control" Target="../activeX/activeX261.xml"/><Relationship Id="rId188" Type="http://schemas.openxmlformats.org/officeDocument/2006/relationships/image" Target="../media/image266.emf"/><Relationship Id="rId7" Type="http://schemas.openxmlformats.org/officeDocument/2006/relationships/image" Target="../media/image194.emf"/><Relationship Id="rId71" Type="http://schemas.openxmlformats.org/officeDocument/2006/relationships/control" Target="../activeX/activeX213.xml"/><Relationship Id="rId92" Type="http://schemas.openxmlformats.org/officeDocument/2006/relationships/image" Target="../media/image218.emf"/><Relationship Id="rId162" Type="http://schemas.openxmlformats.org/officeDocument/2006/relationships/image" Target="../media/image253.emf"/><Relationship Id="rId183" Type="http://schemas.openxmlformats.org/officeDocument/2006/relationships/control" Target="../activeX/activeX269.xml"/><Relationship Id="rId213" Type="http://schemas.openxmlformats.org/officeDocument/2006/relationships/control" Target="../activeX/activeX284.xml"/><Relationship Id="rId218" Type="http://schemas.openxmlformats.org/officeDocument/2006/relationships/image" Target="../media/image281.emf"/><Relationship Id="rId234" Type="http://schemas.openxmlformats.org/officeDocument/2006/relationships/image" Target="../media/image289.emf"/><Relationship Id="rId239" Type="http://schemas.openxmlformats.org/officeDocument/2006/relationships/control" Target="../activeX/activeX297.xml"/><Relationship Id="rId2" Type="http://schemas.openxmlformats.org/officeDocument/2006/relationships/drawing" Target="../drawings/drawing6.xml"/><Relationship Id="rId29" Type="http://schemas.openxmlformats.org/officeDocument/2006/relationships/control" Target="../activeX/activeX184.xml"/><Relationship Id="rId250" Type="http://schemas.openxmlformats.org/officeDocument/2006/relationships/image" Target="../media/image297.emf"/><Relationship Id="rId255" Type="http://schemas.openxmlformats.org/officeDocument/2006/relationships/control" Target="../activeX/activeX305.xml"/><Relationship Id="rId271" Type="http://schemas.openxmlformats.org/officeDocument/2006/relationships/control" Target="../activeX/activeX313.xml"/><Relationship Id="rId276" Type="http://schemas.openxmlformats.org/officeDocument/2006/relationships/image" Target="../media/image310.emf"/><Relationship Id="rId24" Type="http://schemas.openxmlformats.org/officeDocument/2006/relationships/control" Target="../activeX/activeX179.xml"/><Relationship Id="rId40" Type="http://schemas.openxmlformats.org/officeDocument/2006/relationships/control" Target="../activeX/activeX194.xml"/><Relationship Id="rId45" Type="http://schemas.openxmlformats.org/officeDocument/2006/relationships/control" Target="../activeX/activeX198.xml"/><Relationship Id="rId66" Type="http://schemas.openxmlformats.org/officeDocument/2006/relationships/image" Target="../media/image205.emf"/><Relationship Id="rId87" Type="http://schemas.openxmlformats.org/officeDocument/2006/relationships/control" Target="../activeX/activeX221.xml"/><Relationship Id="rId110" Type="http://schemas.openxmlformats.org/officeDocument/2006/relationships/image" Target="../media/image227.emf"/><Relationship Id="rId115" Type="http://schemas.openxmlformats.org/officeDocument/2006/relationships/control" Target="../activeX/activeX235.xml"/><Relationship Id="rId131" Type="http://schemas.openxmlformats.org/officeDocument/2006/relationships/control" Target="../activeX/activeX243.xml"/><Relationship Id="rId136" Type="http://schemas.openxmlformats.org/officeDocument/2006/relationships/image" Target="../media/image240.emf"/><Relationship Id="rId157" Type="http://schemas.openxmlformats.org/officeDocument/2006/relationships/control" Target="../activeX/activeX256.xml"/><Relationship Id="rId178" Type="http://schemas.openxmlformats.org/officeDocument/2006/relationships/image" Target="../media/image261.emf"/><Relationship Id="rId61" Type="http://schemas.openxmlformats.org/officeDocument/2006/relationships/control" Target="../activeX/activeX208.xml"/><Relationship Id="rId82" Type="http://schemas.openxmlformats.org/officeDocument/2006/relationships/image" Target="../media/image213.emf"/><Relationship Id="rId152" Type="http://schemas.openxmlformats.org/officeDocument/2006/relationships/image" Target="../media/image248.emf"/><Relationship Id="rId173" Type="http://schemas.openxmlformats.org/officeDocument/2006/relationships/control" Target="../activeX/activeX264.xml"/><Relationship Id="rId194" Type="http://schemas.openxmlformats.org/officeDocument/2006/relationships/image" Target="../media/image269.emf"/><Relationship Id="rId199" Type="http://schemas.openxmlformats.org/officeDocument/2006/relationships/control" Target="../activeX/activeX277.xml"/><Relationship Id="rId203" Type="http://schemas.openxmlformats.org/officeDocument/2006/relationships/control" Target="../activeX/activeX279.xml"/><Relationship Id="rId208" Type="http://schemas.openxmlformats.org/officeDocument/2006/relationships/image" Target="../media/image276.emf"/><Relationship Id="rId229" Type="http://schemas.openxmlformats.org/officeDocument/2006/relationships/control" Target="../activeX/activeX292.xml"/><Relationship Id="rId19" Type="http://schemas.openxmlformats.org/officeDocument/2006/relationships/control" Target="../activeX/activeX174.xml"/><Relationship Id="rId224" Type="http://schemas.openxmlformats.org/officeDocument/2006/relationships/image" Target="../media/image284.emf"/><Relationship Id="rId240" Type="http://schemas.openxmlformats.org/officeDocument/2006/relationships/image" Target="../media/image292.emf"/><Relationship Id="rId245" Type="http://schemas.openxmlformats.org/officeDocument/2006/relationships/control" Target="../activeX/activeX300.xml"/><Relationship Id="rId261" Type="http://schemas.openxmlformats.org/officeDocument/2006/relationships/control" Target="../activeX/activeX308.xml"/><Relationship Id="rId266" Type="http://schemas.openxmlformats.org/officeDocument/2006/relationships/image" Target="../media/image305.emf"/><Relationship Id="rId14" Type="http://schemas.openxmlformats.org/officeDocument/2006/relationships/control" Target="../activeX/activeX170.xml"/><Relationship Id="rId30" Type="http://schemas.openxmlformats.org/officeDocument/2006/relationships/control" Target="../activeX/activeX185.xml"/><Relationship Id="rId35" Type="http://schemas.openxmlformats.org/officeDocument/2006/relationships/control" Target="../activeX/activeX190.xml"/><Relationship Id="rId56" Type="http://schemas.openxmlformats.org/officeDocument/2006/relationships/image" Target="../media/image200.emf"/><Relationship Id="rId77" Type="http://schemas.openxmlformats.org/officeDocument/2006/relationships/control" Target="../activeX/activeX216.xml"/><Relationship Id="rId100" Type="http://schemas.openxmlformats.org/officeDocument/2006/relationships/image" Target="../media/image222.emf"/><Relationship Id="rId105" Type="http://schemas.openxmlformats.org/officeDocument/2006/relationships/control" Target="../activeX/activeX230.xml"/><Relationship Id="rId126" Type="http://schemas.openxmlformats.org/officeDocument/2006/relationships/image" Target="../media/image235.emf"/><Relationship Id="rId147" Type="http://schemas.openxmlformats.org/officeDocument/2006/relationships/control" Target="../activeX/activeX251.xml"/><Relationship Id="rId168" Type="http://schemas.openxmlformats.org/officeDocument/2006/relationships/image" Target="../media/image256.emf"/><Relationship Id="rId282" Type="http://schemas.openxmlformats.org/officeDocument/2006/relationships/image" Target="../media/image313.emf"/><Relationship Id="rId8" Type="http://schemas.openxmlformats.org/officeDocument/2006/relationships/control" Target="../activeX/activeX167.xml"/><Relationship Id="rId51" Type="http://schemas.openxmlformats.org/officeDocument/2006/relationships/control" Target="../activeX/activeX203.xml"/><Relationship Id="rId72" Type="http://schemas.openxmlformats.org/officeDocument/2006/relationships/image" Target="../media/image208.emf"/><Relationship Id="rId93" Type="http://schemas.openxmlformats.org/officeDocument/2006/relationships/control" Target="../activeX/activeX224.xml"/><Relationship Id="rId98" Type="http://schemas.openxmlformats.org/officeDocument/2006/relationships/image" Target="../media/image221.emf"/><Relationship Id="rId121" Type="http://schemas.openxmlformats.org/officeDocument/2006/relationships/control" Target="../activeX/activeX238.xml"/><Relationship Id="rId142" Type="http://schemas.openxmlformats.org/officeDocument/2006/relationships/image" Target="../media/image243.emf"/><Relationship Id="rId163" Type="http://schemas.openxmlformats.org/officeDocument/2006/relationships/control" Target="../activeX/activeX259.xml"/><Relationship Id="rId184" Type="http://schemas.openxmlformats.org/officeDocument/2006/relationships/image" Target="../media/image264.emf"/><Relationship Id="rId189" Type="http://schemas.openxmlformats.org/officeDocument/2006/relationships/control" Target="../activeX/activeX272.xml"/><Relationship Id="rId219" Type="http://schemas.openxmlformats.org/officeDocument/2006/relationships/control" Target="../activeX/activeX287.xml"/><Relationship Id="rId3" Type="http://schemas.openxmlformats.org/officeDocument/2006/relationships/vmlDrawing" Target="../drawings/vmlDrawing6.vml"/><Relationship Id="rId214" Type="http://schemas.openxmlformats.org/officeDocument/2006/relationships/image" Target="../media/image279.emf"/><Relationship Id="rId230" Type="http://schemas.openxmlformats.org/officeDocument/2006/relationships/image" Target="../media/image287.emf"/><Relationship Id="rId235" Type="http://schemas.openxmlformats.org/officeDocument/2006/relationships/control" Target="../activeX/activeX295.xml"/><Relationship Id="rId251" Type="http://schemas.openxmlformats.org/officeDocument/2006/relationships/control" Target="../activeX/activeX303.xml"/><Relationship Id="rId256" Type="http://schemas.openxmlformats.org/officeDocument/2006/relationships/image" Target="../media/image300.emf"/><Relationship Id="rId277" Type="http://schemas.openxmlformats.org/officeDocument/2006/relationships/control" Target="../activeX/activeX316.xml"/><Relationship Id="rId25" Type="http://schemas.openxmlformats.org/officeDocument/2006/relationships/control" Target="../activeX/activeX180.xml"/><Relationship Id="rId46" Type="http://schemas.openxmlformats.org/officeDocument/2006/relationships/control" Target="../activeX/activeX199.xml"/><Relationship Id="rId67" Type="http://schemas.openxmlformats.org/officeDocument/2006/relationships/control" Target="../activeX/activeX211.xml"/><Relationship Id="rId116" Type="http://schemas.openxmlformats.org/officeDocument/2006/relationships/image" Target="../media/image230.emf"/><Relationship Id="rId137" Type="http://schemas.openxmlformats.org/officeDocument/2006/relationships/control" Target="../activeX/activeX246.xml"/><Relationship Id="rId158" Type="http://schemas.openxmlformats.org/officeDocument/2006/relationships/image" Target="../media/image251.emf"/><Relationship Id="rId272" Type="http://schemas.openxmlformats.org/officeDocument/2006/relationships/image" Target="../media/image308.emf"/><Relationship Id="rId20" Type="http://schemas.openxmlformats.org/officeDocument/2006/relationships/control" Target="../activeX/activeX175.xml"/><Relationship Id="rId41" Type="http://schemas.openxmlformats.org/officeDocument/2006/relationships/control" Target="../activeX/activeX195.xml"/><Relationship Id="rId62" Type="http://schemas.openxmlformats.org/officeDocument/2006/relationships/image" Target="../media/image203.emf"/><Relationship Id="rId83" Type="http://schemas.openxmlformats.org/officeDocument/2006/relationships/control" Target="../activeX/activeX219.xml"/><Relationship Id="rId88" Type="http://schemas.openxmlformats.org/officeDocument/2006/relationships/image" Target="../media/image216.emf"/><Relationship Id="rId111" Type="http://schemas.openxmlformats.org/officeDocument/2006/relationships/control" Target="../activeX/activeX233.xml"/><Relationship Id="rId132" Type="http://schemas.openxmlformats.org/officeDocument/2006/relationships/image" Target="../media/image238.emf"/><Relationship Id="rId153" Type="http://schemas.openxmlformats.org/officeDocument/2006/relationships/control" Target="../activeX/activeX254.xml"/><Relationship Id="rId174" Type="http://schemas.openxmlformats.org/officeDocument/2006/relationships/image" Target="../media/image259.emf"/><Relationship Id="rId179" Type="http://schemas.openxmlformats.org/officeDocument/2006/relationships/control" Target="../activeX/activeX267.xml"/><Relationship Id="rId195" Type="http://schemas.openxmlformats.org/officeDocument/2006/relationships/control" Target="../activeX/activeX275.xml"/><Relationship Id="rId209" Type="http://schemas.openxmlformats.org/officeDocument/2006/relationships/control" Target="../activeX/activeX282.xml"/><Relationship Id="rId190" Type="http://schemas.openxmlformats.org/officeDocument/2006/relationships/image" Target="../media/image267.emf"/><Relationship Id="rId204" Type="http://schemas.openxmlformats.org/officeDocument/2006/relationships/image" Target="../media/image274.emf"/><Relationship Id="rId220" Type="http://schemas.openxmlformats.org/officeDocument/2006/relationships/image" Target="../media/image282.emf"/><Relationship Id="rId225" Type="http://schemas.openxmlformats.org/officeDocument/2006/relationships/control" Target="../activeX/activeX290.xml"/><Relationship Id="rId241" Type="http://schemas.openxmlformats.org/officeDocument/2006/relationships/control" Target="../activeX/activeX298.xml"/><Relationship Id="rId246" Type="http://schemas.openxmlformats.org/officeDocument/2006/relationships/image" Target="../media/image295.emf"/><Relationship Id="rId267" Type="http://schemas.openxmlformats.org/officeDocument/2006/relationships/control" Target="../activeX/activeX311.xml"/><Relationship Id="rId15" Type="http://schemas.openxmlformats.org/officeDocument/2006/relationships/image" Target="../media/image72.emf"/><Relationship Id="rId36" Type="http://schemas.openxmlformats.org/officeDocument/2006/relationships/control" Target="../activeX/activeX191.xml"/><Relationship Id="rId57" Type="http://schemas.openxmlformats.org/officeDocument/2006/relationships/control" Target="../activeX/activeX206.xml"/><Relationship Id="rId106" Type="http://schemas.openxmlformats.org/officeDocument/2006/relationships/image" Target="../media/image225.emf"/><Relationship Id="rId127" Type="http://schemas.openxmlformats.org/officeDocument/2006/relationships/control" Target="../activeX/activeX241.xml"/><Relationship Id="rId262" Type="http://schemas.openxmlformats.org/officeDocument/2006/relationships/image" Target="../media/image303.emf"/><Relationship Id="rId10" Type="http://schemas.openxmlformats.org/officeDocument/2006/relationships/control" Target="../activeX/activeX168.xml"/><Relationship Id="rId31" Type="http://schemas.openxmlformats.org/officeDocument/2006/relationships/control" Target="../activeX/activeX186.xml"/><Relationship Id="rId52" Type="http://schemas.openxmlformats.org/officeDocument/2006/relationships/image" Target="../media/image198.emf"/><Relationship Id="rId73" Type="http://schemas.openxmlformats.org/officeDocument/2006/relationships/control" Target="../activeX/activeX214.xml"/><Relationship Id="rId78" Type="http://schemas.openxmlformats.org/officeDocument/2006/relationships/image" Target="../media/image211.emf"/><Relationship Id="rId94" Type="http://schemas.openxmlformats.org/officeDocument/2006/relationships/image" Target="../media/image219.emf"/><Relationship Id="rId99" Type="http://schemas.openxmlformats.org/officeDocument/2006/relationships/control" Target="../activeX/activeX227.xml"/><Relationship Id="rId101" Type="http://schemas.openxmlformats.org/officeDocument/2006/relationships/control" Target="../activeX/activeX228.xml"/><Relationship Id="rId122" Type="http://schemas.openxmlformats.org/officeDocument/2006/relationships/image" Target="../media/image233.emf"/><Relationship Id="rId143" Type="http://schemas.openxmlformats.org/officeDocument/2006/relationships/control" Target="../activeX/activeX249.xml"/><Relationship Id="rId148" Type="http://schemas.openxmlformats.org/officeDocument/2006/relationships/image" Target="../media/image246.emf"/><Relationship Id="rId164" Type="http://schemas.openxmlformats.org/officeDocument/2006/relationships/image" Target="../media/image254.emf"/><Relationship Id="rId169" Type="http://schemas.openxmlformats.org/officeDocument/2006/relationships/control" Target="../activeX/activeX262.xml"/><Relationship Id="rId185" Type="http://schemas.openxmlformats.org/officeDocument/2006/relationships/control" Target="../activeX/activeX270.xml"/><Relationship Id="rId4" Type="http://schemas.openxmlformats.org/officeDocument/2006/relationships/control" Target="../activeX/activeX165.xml"/><Relationship Id="rId9" Type="http://schemas.openxmlformats.org/officeDocument/2006/relationships/image" Target="../media/image195.emf"/><Relationship Id="rId180" Type="http://schemas.openxmlformats.org/officeDocument/2006/relationships/image" Target="../media/image262.emf"/><Relationship Id="rId210" Type="http://schemas.openxmlformats.org/officeDocument/2006/relationships/image" Target="../media/image277.emf"/><Relationship Id="rId215" Type="http://schemas.openxmlformats.org/officeDocument/2006/relationships/control" Target="../activeX/activeX285.xml"/><Relationship Id="rId236" Type="http://schemas.openxmlformats.org/officeDocument/2006/relationships/image" Target="../media/image290.emf"/><Relationship Id="rId257" Type="http://schemas.openxmlformats.org/officeDocument/2006/relationships/control" Target="../activeX/activeX306.xml"/><Relationship Id="rId278" Type="http://schemas.openxmlformats.org/officeDocument/2006/relationships/image" Target="../media/image311.emf"/><Relationship Id="rId26" Type="http://schemas.openxmlformats.org/officeDocument/2006/relationships/control" Target="../activeX/activeX181.xml"/><Relationship Id="rId231" Type="http://schemas.openxmlformats.org/officeDocument/2006/relationships/control" Target="../activeX/activeX293.xml"/><Relationship Id="rId252" Type="http://schemas.openxmlformats.org/officeDocument/2006/relationships/image" Target="../media/image298.emf"/><Relationship Id="rId273" Type="http://schemas.openxmlformats.org/officeDocument/2006/relationships/control" Target="../activeX/activeX314.xml"/><Relationship Id="rId47" Type="http://schemas.openxmlformats.org/officeDocument/2006/relationships/control" Target="../activeX/activeX200.xml"/><Relationship Id="rId68" Type="http://schemas.openxmlformats.org/officeDocument/2006/relationships/image" Target="../media/image206.emf"/><Relationship Id="rId89" Type="http://schemas.openxmlformats.org/officeDocument/2006/relationships/control" Target="../activeX/activeX222.xml"/><Relationship Id="rId112" Type="http://schemas.openxmlformats.org/officeDocument/2006/relationships/image" Target="../media/image228.emf"/><Relationship Id="rId133" Type="http://schemas.openxmlformats.org/officeDocument/2006/relationships/control" Target="../activeX/activeX244.xml"/><Relationship Id="rId154" Type="http://schemas.openxmlformats.org/officeDocument/2006/relationships/image" Target="../media/image249.emf"/><Relationship Id="rId175" Type="http://schemas.openxmlformats.org/officeDocument/2006/relationships/control" Target="../activeX/activeX265.xml"/><Relationship Id="rId196" Type="http://schemas.openxmlformats.org/officeDocument/2006/relationships/image" Target="../media/image270.emf"/><Relationship Id="rId200" Type="http://schemas.openxmlformats.org/officeDocument/2006/relationships/image" Target="../media/image272.emf"/><Relationship Id="rId16" Type="http://schemas.openxmlformats.org/officeDocument/2006/relationships/control" Target="../activeX/activeX171.xml"/><Relationship Id="rId221" Type="http://schemas.openxmlformats.org/officeDocument/2006/relationships/control" Target="../activeX/activeX288.xml"/><Relationship Id="rId242" Type="http://schemas.openxmlformats.org/officeDocument/2006/relationships/image" Target="../media/image293.emf"/><Relationship Id="rId263" Type="http://schemas.openxmlformats.org/officeDocument/2006/relationships/control" Target="../activeX/activeX309.xml"/><Relationship Id="rId37" Type="http://schemas.openxmlformats.org/officeDocument/2006/relationships/control" Target="../activeX/activeX192.xml"/><Relationship Id="rId58" Type="http://schemas.openxmlformats.org/officeDocument/2006/relationships/image" Target="../media/image201.emf"/><Relationship Id="rId79" Type="http://schemas.openxmlformats.org/officeDocument/2006/relationships/control" Target="../activeX/activeX217.xml"/><Relationship Id="rId102" Type="http://schemas.openxmlformats.org/officeDocument/2006/relationships/image" Target="../media/image223.emf"/><Relationship Id="rId123" Type="http://schemas.openxmlformats.org/officeDocument/2006/relationships/control" Target="../activeX/activeX239.xml"/><Relationship Id="rId144" Type="http://schemas.openxmlformats.org/officeDocument/2006/relationships/image" Target="../media/image244.emf"/><Relationship Id="rId90" Type="http://schemas.openxmlformats.org/officeDocument/2006/relationships/image" Target="../media/image217.emf"/><Relationship Id="rId165" Type="http://schemas.openxmlformats.org/officeDocument/2006/relationships/control" Target="../activeX/activeX260.xml"/><Relationship Id="rId186" Type="http://schemas.openxmlformats.org/officeDocument/2006/relationships/image" Target="../media/image265.emf"/><Relationship Id="rId211" Type="http://schemas.openxmlformats.org/officeDocument/2006/relationships/control" Target="../activeX/activeX283.xml"/><Relationship Id="rId232" Type="http://schemas.openxmlformats.org/officeDocument/2006/relationships/image" Target="../media/image288.emf"/><Relationship Id="rId253" Type="http://schemas.openxmlformats.org/officeDocument/2006/relationships/control" Target="../activeX/activeX304.xml"/><Relationship Id="rId274" Type="http://schemas.openxmlformats.org/officeDocument/2006/relationships/image" Target="../media/image309.emf"/><Relationship Id="rId27" Type="http://schemas.openxmlformats.org/officeDocument/2006/relationships/control" Target="../activeX/activeX182.xml"/><Relationship Id="rId48" Type="http://schemas.openxmlformats.org/officeDocument/2006/relationships/control" Target="../activeX/activeX201.xml"/><Relationship Id="rId69" Type="http://schemas.openxmlformats.org/officeDocument/2006/relationships/control" Target="../activeX/activeX212.xml"/><Relationship Id="rId113" Type="http://schemas.openxmlformats.org/officeDocument/2006/relationships/control" Target="../activeX/activeX234.xml"/><Relationship Id="rId134" Type="http://schemas.openxmlformats.org/officeDocument/2006/relationships/image" Target="../media/image239.emf"/><Relationship Id="rId80" Type="http://schemas.openxmlformats.org/officeDocument/2006/relationships/image" Target="../media/image212.emf"/><Relationship Id="rId155" Type="http://schemas.openxmlformats.org/officeDocument/2006/relationships/control" Target="../activeX/activeX255.xml"/><Relationship Id="rId176" Type="http://schemas.openxmlformats.org/officeDocument/2006/relationships/image" Target="../media/image260.emf"/><Relationship Id="rId197" Type="http://schemas.openxmlformats.org/officeDocument/2006/relationships/control" Target="../activeX/activeX276.xml"/><Relationship Id="rId201" Type="http://schemas.openxmlformats.org/officeDocument/2006/relationships/control" Target="../activeX/activeX278.xml"/><Relationship Id="rId222" Type="http://schemas.openxmlformats.org/officeDocument/2006/relationships/image" Target="../media/image283.emf"/><Relationship Id="rId243" Type="http://schemas.openxmlformats.org/officeDocument/2006/relationships/control" Target="../activeX/activeX299.xml"/><Relationship Id="rId264" Type="http://schemas.openxmlformats.org/officeDocument/2006/relationships/image" Target="../media/image304.emf"/><Relationship Id="rId17" Type="http://schemas.openxmlformats.org/officeDocument/2006/relationships/control" Target="../activeX/activeX172.xml"/><Relationship Id="rId38" Type="http://schemas.openxmlformats.org/officeDocument/2006/relationships/control" Target="../activeX/activeX193.xml"/><Relationship Id="rId59" Type="http://schemas.openxmlformats.org/officeDocument/2006/relationships/control" Target="../activeX/activeX207.xml"/><Relationship Id="rId103" Type="http://schemas.openxmlformats.org/officeDocument/2006/relationships/control" Target="../activeX/activeX229.xml"/><Relationship Id="rId124" Type="http://schemas.openxmlformats.org/officeDocument/2006/relationships/image" Target="../media/image234.emf"/><Relationship Id="rId70" Type="http://schemas.openxmlformats.org/officeDocument/2006/relationships/image" Target="../media/image207.emf"/><Relationship Id="rId91" Type="http://schemas.openxmlformats.org/officeDocument/2006/relationships/control" Target="../activeX/activeX223.xml"/><Relationship Id="rId145" Type="http://schemas.openxmlformats.org/officeDocument/2006/relationships/control" Target="../activeX/activeX250.xml"/><Relationship Id="rId166" Type="http://schemas.openxmlformats.org/officeDocument/2006/relationships/image" Target="../media/image255.emf"/><Relationship Id="rId187" Type="http://schemas.openxmlformats.org/officeDocument/2006/relationships/control" Target="../activeX/activeX271.xml"/><Relationship Id="rId1" Type="http://schemas.openxmlformats.org/officeDocument/2006/relationships/printerSettings" Target="../printerSettings/printerSettings8.bin"/><Relationship Id="rId212" Type="http://schemas.openxmlformats.org/officeDocument/2006/relationships/image" Target="../media/image278.emf"/><Relationship Id="rId233" Type="http://schemas.openxmlformats.org/officeDocument/2006/relationships/control" Target="../activeX/activeX294.xml"/><Relationship Id="rId254" Type="http://schemas.openxmlformats.org/officeDocument/2006/relationships/image" Target="../media/image299.emf"/><Relationship Id="rId28" Type="http://schemas.openxmlformats.org/officeDocument/2006/relationships/control" Target="../activeX/activeX183.xml"/><Relationship Id="rId49" Type="http://schemas.openxmlformats.org/officeDocument/2006/relationships/control" Target="../activeX/activeX202.xml"/><Relationship Id="rId114" Type="http://schemas.openxmlformats.org/officeDocument/2006/relationships/image" Target="../media/image229.emf"/><Relationship Id="rId275" Type="http://schemas.openxmlformats.org/officeDocument/2006/relationships/control" Target="../activeX/activeX315.xml"/><Relationship Id="rId60" Type="http://schemas.openxmlformats.org/officeDocument/2006/relationships/image" Target="../media/image202.emf"/><Relationship Id="rId81" Type="http://schemas.openxmlformats.org/officeDocument/2006/relationships/control" Target="../activeX/activeX218.xml"/><Relationship Id="rId135" Type="http://schemas.openxmlformats.org/officeDocument/2006/relationships/control" Target="../activeX/activeX245.xml"/><Relationship Id="rId156" Type="http://schemas.openxmlformats.org/officeDocument/2006/relationships/image" Target="../media/image250.emf"/><Relationship Id="rId177" Type="http://schemas.openxmlformats.org/officeDocument/2006/relationships/control" Target="../activeX/activeX266.xml"/><Relationship Id="rId198" Type="http://schemas.openxmlformats.org/officeDocument/2006/relationships/image" Target="../media/image27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B1:M33"/>
  <sheetViews>
    <sheetView showGridLines="0" tabSelected="1" workbookViewId="0">
      <selection activeCell="I14" sqref="I14"/>
    </sheetView>
  </sheetViews>
  <sheetFormatPr baseColWidth="10" defaultColWidth="11.42578125" defaultRowHeight="15" x14ac:dyDescent="0.25"/>
  <cols>
    <col min="1" max="1" width="11.42578125" style="34" customWidth="1"/>
    <col min="2" max="16384" width="11.42578125" style="34"/>
  </cols>
  <sheetData>
    <row r="1" spans="2:13" ht="15.75" thickBot="1" x14ac:dyDescent="0.3"/>
    <row r="2" spans="2:13" ht="54.75" customHeight="1" thickBot="1" x14ac:dyDescent="0.3">
      <c r="B2" s="686" t="s">
        <v>427</v>
      </c>
      <c r="C2" s="687"/>
      <c r="D2" s="687"/>
      <c r="E2" s="687"/>
      <c r="F2" s="687"/>
      <c r="G2" s="687"/>
      <c r="H2" s="687"/>
      <c r="I2" s="687"/>
      <c r="J2" s="687"/>
      <c r="K2" s="687"/>
      <c r="L2" s="687"/>
      <c r="M2" s="688"/>
    </row>
    <row r="3" spans="2:13" x14ac:dyDescent="0.25">
      <c r="B3" s="689"/>
      <c r="C3" s="689"/>
      <c r="D3" s="689"/>
      <c r="E3" s="689"/>
      <c r="F3" s="689"/>
      <c r="G3" s="689"/>
      <c r="H3" s="689"/>
      <c r="I3" s="689"/>
      <c r="J3" s="689"/>
      <c r="K3" s="689"/>
      <c r="L3" s="689"/>
      <c r="M3" s="689"/>
    </row>
    <row r="4" spans="2:13" x14ac:dyDescent="0.25">
      <c r="B4" s="690" t="s">
        <v>428</v>
      </c>
      <c r="C4" s="691"/>
      <c r="D4" s="691"/>
      <c r="E4" s="691"/>
      <c r="F4" s="691"/>
      <c r="G4" s="691"/>
      <c r="H4" s="691"/>
      <c r="I4" s="691"/>
      <c r="J4" s="691"/>
      <c r="K4" s="691"/>
      <c r="L4" s="691"/>
      <c r="M4" s="692"/>
    </row>
    <row r="5" spans="2:13" ht="24" customHeight="1" x14ac:dyDescent="0.25">
      <c r="B5" s="693"/>
      <c r="C5" s="694"/>
      <c r="D5" s="694"/>
      <c r="E5" s="694"/>
      <c r="F5" s="694"/>
      <c r="G5" s="694"/>
      <c r="H5" s="694"/>
      <c r="I5" s="694"/>
      <c r="J5" s="694"/>
      <c r="K5" s="694"/>
      <c r="L5" s="694"/>
      <c r="M5" s="695"/>
    </row>
    <row r="12" spans="2:13" x14ac:dyDescent="0.25">
      <c r="B12" s="10" t="s">
        <v>429</v>
      </c>
    </row>
    <row r="13" spans="2:13" x14ac:dyDescent="0.25">
      <c r="B13" s="34" t="s">
        <v>431</v>
      </c>
    </row>
    <row r="14" spans="2:13" x14ac:dyDescent="0.25">
      <c r="B14" s="34" t="s">
        <v>880</v>
      </c>
    </row>
    <row r="16" spans="2:13" x14ac:dyDescent="0.25">
      <c r="B16" s="34" t="s">
        <v>430</v>
      </c>
    </row>
    <row r="18" spans="2:2" x14ac:dyDescent="0.25">
      <c r="B18" s="34" t="s">
        <v>678</v>
      </c>
    </row>
    <row r="20" spans="2:2" x14ac:dyDescent="0.25">
      <c r="B20" s="126"/>
    </row>
    <row r="21" spans="2:2" x14ac:dyDescent="0.25">
      <c r="B21" s="126"/>
    </row>
    <row r="22" spans="2:2" x14ac:dyDescent="0.25">
      <c r="B22" s="126"/>
    </row>
    <row r="23" spans="2:2" x14ac:dyDescent="0.25">
      <c r="B23" s="126"/>
    </row>
    <row r="24" spans="2:2" x14ac:dyDescent="0.25">
      <c r="B24" s="126"/>
    </row>
    <row r="25" spans="2:2" x14ac:dyDescent="0.25">
      <c r="B25" s="127"/>
    </row>
    <row r="26" spans="2:2" x14ac:dyDescent="0.25">
      <c r="B26" s="126"/>
    </row>
    <row r="27" spans="2:2" x14ac:dyDescent="0.25">
      <c r="B27" s="126"/>
    </row>
    <row r="28" spans="2:2" x14ac:dyDescent="0.25">
      <c r="B28" s="126"/>
    </row>
    <row r="29" spans="2:2" x14ac:dyDescent="0.25">
      <c r="B29" s="126"/>
    </row>
    <row r="30" spans="2:2" x14ac:dyDescent="0.25">
      <c r="B30" s="126"/>
    </row>
    <row r="31" spans="2:2" x14ac:dyDescent="0.25">
      <c r="B31" s="127"/>
    </row>
    <row r="32" spans="2:2" x14ac:dyDescent="0.25">
      <c r="B32" s="127"/>
    </row>
    <row r="33" spans="2:2" x14ac:dyDescent="0.25">
      <c r="B33" s="1"/>
    </row>
  </sheetData>
  <mergeCells count="3">
    <mergeCell ref="B2:M2"/>
    <mergeCell ref="B3:M3"/>
    <mergeCell ref="B4:M5"/>
  </mergeCells>
  <printOptions horizontalCentered="1" verticalCentered="1"/>
  <pageMargins left="0.70866141732283472" right="0.70866141732283472" top="0.74803149606299213" bottom="0.74803149606299213" header="0.31496062992125984" footer="0.31496062992125984"/>
  <pageSetup scale="6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tabColor theme="5" tint="0.39997558519241921"/>
  </sheetPr>
  <dimension ref="A3:S222"/>
  <sheetViews>
    <sheetView showGridLines="0" topLeftCell="A206" zoomScaleNormal="100" workbookViewId="0">
      <selection activeCell="F210" sqref="F210"/>
    </sheetView>
  </sheetViews>
  <sheetFormatPr baseColWidth="10" defaultColWidth="11.5703125" defaultRowHeight="15" x14ac:dyDescent="0.25"/>
  <cols>
    <col min="1" max="1" width="8.85546875" customWidth="1"/>
    <col min="2" max="2" width="32.42578125" customWidth="1"/>
    <col min="3" max="3" width="27.5703125" customWidth="1"/>
    <col min="4" max="4" width="3.5703125" customWidth="1"/>
    <col min="5" max="5" width="34.140625" customWidth="1"/>
    <col min="6" max="6" width="36.140625" customWidth="1"/>
    <col min="7" max="7" width="27.28515625" bestFit="1" customWidth="1"/>
    <col min="8" max="8" width="27.42578125" customWidth="1"/>
    <col min="9" max="9" width="17.28515625" customWidth="1"/>
    <col min="10" max="10" width="2.28515625" customWidth="1"/>
    <col min="11" max="11" width="24.85546875" customWidth="1"/>
    <col min="12" max="15" width="22.5703125" customWidth="1"/>
    <col min="16" max="16" width="20.5703125" customWidth="1"/>
    <col min="17" max="17" width="23.7109375" customWidth="1"/>
    <col min="18" max="19" width="38.140625" bestFit="1" customWidth="1"/>
    <col min="21" max="21" width="13.140625" bestFit="1" customWidth="1"/>
    <col min="22" max="23" width="15.5703125" bestFit="1" customWidth="1"/>
  </cols>
  <sheetData>
    <row r="3" spans="2:19" ht="45" customHeight="1" x14ac:dyDescent="0.25">
      <c r="B3" s="1200" t="s">
        <v>142</v>
      </c>
      <c r="C3" s="1201"/>
      <c r="D3" s="1201"/>
      <c r="E3" s="1201"/>
      <c r="F3" s="1201"/>
      <c r="G3" s="1201"/>
      <c r="H3" s="1201"/>
      <c r="I3" s="1201"/>
      <c r="J3" s="1201"/>
      <c r="K3" s="1201"/>
      <c r="L3" s="1201"/>
      <c r="M3" s="1201"/>
      <c r="N3" s="1201"/>
      <c r="O3" s="1201"/>
      <c r="P3" s="1201"/>
      <c r="Q3" s="1201"/>
      <c r="R3" s="1201"/>
      <c r="S3" s="1201"/>
    </row>
    <row r="5" spans="2:19" ht="21" x14ac:dyDescent="0.35">
      <c r="B5" s="1211" t="s">
        <v>287</v>
      </c>
      <c r="C5" s="1211"/>
      <c r="D5" s="3"/>
      <c r="E5" s="1203" t="s">
        <v>253</v>
      </c>
      <c r="F5" s="1203"/>
      <c r="G5" s="1203"/>
      <c r="H5" s="1203"/>
      <c r="I5" s="1203"/>
      <c r="J5" s="45"/>
      <c r="K5" s="1203" t="s">
        <v>286</v>
      </c>
      <c r="L5" s="1203"/>
      <c r="M5" s="1203"/>
      <c r="N5" s="1203"/>
      <c r="O5" s="1203"/>
      <c r="P5" s="1203"/>
    </row>
    <row r="6" spans="2:19" x14ac:dyDescent="0.25">
      <c r="B6" s="27" t="s">
        <v>85</v>
      </c>
      <c r="C6" s="27">
        <v>1</v>
      </c>
      <c r="D6" s="3"/>
      <c r="E6" s="27" t="s">
        <v>257</v>
      </c>
      <c r="F6" s="27" t="str">
        <f>+'Datos Recicladores'!G19</f>
        <v>Combinación de equipo de tracción manual con camión</v>
      </c>
      <c r="J6" s="3"/>
    </row>
    <row r="7" spans="2:19" x14ac:dyDescent="0.25">
      <c r="B7" s="27" t="s">
        <v>212</v>
      </c>
      <c r="C7" s="27">
        <v>2</v>
      </c>
      <c r="D7" s="3"/>
      <c r="E7" t="s">
        <v>83</v>
      </c>
      <c r="F7" t="str">
        <f>+IF('Datos Recicladores'!G19="Combinación de equipo de tracción manual con camión",'Datos Recicladores'!G24,'Datos Recicladores'!G19)</f>
        <v>Vehículo motorizado mediano</v>
      </c>
      <c r="H7" t="str">
        <f>+IF('Datos Recicladores'!G19="Combinación de Equipo de tracción manual con camión",'Datos Recicladores'!O24,"")</f>
        <v>Equipo de tracción manual</v>
      </c>
      <c r="J7" s="3"/>
    </row>
    <row r="8" spans="2:19" x14ac:dyDescent="0.25">
      <c r="B8" s="27" t="s">
        <v>433</v>
      </c>
      <c r="C8" s="27">
        <v>3</v>
      </c>
      <c r="D8" s="3"/>
      <c r="E8" s="10" t="s">
        <v>254</v>
      </c>
      <c r="J8" s="3"/>
    </row>
    <row r="9" spans="2:19" x14ac:dyDescent="0.25">
      <c r="B9" s="27" t="s">
        <v>456</v>
      </c>
      <c r="C9" s="27">
        <v>4</v>
      </c>
      <c r="D9" s="3"/>
      <c r="E9" t="str">
        <f>+CONCATENATE("Capacidad efectiva del vehículo",(IF('Datos Recicladores'!G26="Peso (Toneladas)"," TON"," M3")))</f>
        <v>Capacidad efectiva del vehículo TON</v>
      </c>
      <c r="F9" s="28">
        <f>+IF('Datos Recicladores'!G27="",'Datos Recicladores'!H27,'Datos Recicladores'!G27)</f>
        <v>3.5</v>
      </c>
      <c r="H9" s="31">
        <f>+IF(C11&lt;4,0,IF('Datos Recicladores'!O27="",'Datos Recicladores'!P27,'Datos Recicladores'!O27))</f>
        <v>3.125</v>
      </c>
      <c r="J9" s="3"/>
    </row>
    <row r="10" spans="2:19" x14ac:dyDescent="0.25">
      <c r="B10" s="27"/>
      <c r="C10" s="27"/>
      <c r="D10" s="3"/>
      <c r="E10" t="s">
        <v>240</v>
      </c>
      <c r="F10" s="29">
        <f>+SUM(F11:F14)</f>
        <v>1.1428571428571426</v>
      </c>
      <c r="H10" s="29">
        <f>+SUM(H11:H14)</f>
        <v>2.333333333333333</v>
      </c>
      <c r="J10" s="3"/>
    </row>
    <row r="11" spans="2:19" x14ac:dyDescent="0.25">
      <c r="B11" s="27" t="s">
        <v>102</v>
      </c>
      <c r="C11" s="27">
        <f>+IFERROR(VLOOKUP('Datos Recicladores'!G19,Referencias!B57:C61,2,0),"")</f>
        <v>4</v>
      </c>
      <c r="D11" s="3"/>
      <c r="E11" t="s">
        <v>242</v>
      </c>
      <c r="F11" s="28">
        <f>+IF('Datos Recicladores'!G28="",'Datos Recicladores'!H28,'Datos Recicladores'!G28)</f>
        <v>0.476190476190476</v>
      </c>
      <c r="H11" s="31">
        <v>0</v>
      </c>
      <c r="J11" s="3"/>
      <c r="K11" t="s">
        <v>258</v>
      </c>
      <c r="M11" s="29" t="str">
        <f>+IF(AND(M12="",M13="",M14=""),"",SUM(M12:M14))</f>
        <v/>
      </c>
    </row>
    <row r="12" spans="2:19" x14ac:dyDescent="0.25">
      <c r="D12" s="3"/>
      <c r="E12" t="s">
        <v>241</v>
      </c>
      <c r="F12" s="28">
        <f>+IF('Datos Recicladores'!G29="",'Datos Recicladores'!H29,'Datos Recicladores'!G29)</f>
        <v>0</v>
      </c>
      <c r="H12" s="31">
        <f>+IF('Datos Recicladores'!O28="",'Datos Recicladores'!P28,'Datos Recicladores'!O28)</f>
        <v>2</v>
      </c>
      <c r="J12" s="3"/>
      <c r="K12" s="33" t="s">
        <v>85</v>
      </c>
      <c r="M12" s="31" t="str">
        <f>+IF('Datos Recicladores'!G53="","",'Datos Recicladores'!G53)</f>
        <v/>
      </c>
    </row>
    <row r="13" spans="2:19" x14ac:dyDescent="0.25">
      <c r="C13" s="29"/>
      <c r="D13" s="3"/>
      <c r="E13" t="s">
        <v>243</v>
      </c>
      <c r="F13" s="28">
        <f>+IF('Datos Recicladores'!G30="",'Datos Recicladores'!H30,'Datos Recicladores'!G30)</f>
        <v>0.33333333333333331</v>
      </c>
      <c r="H13" s="31">
        <f>+IF('Datos Recicladores'!O29="",'Datos Recicladores'!P29,'Datos Recicladores'!O29)</f>
        <v>0.16666666666666666</v>
      </c>
      <c r="J13" s="3"/>
      <c r="K13" s="33" t="s">
        <v>212</v>
      </c>
      <c r="M13" s="31" t="str">
        <f>+IF('Datos Recicladores'!G54="","",'Datos Recicladores'!G54)</f>
        <v/>
      </c>
    </row>
    <row r="14" spans="2:19" x14ac:dyDescent="0.25">
      <c r="D14" s="3"/>
      <c r="E14" t="s">
        <v>244</v>
      </c>
      <c r="F14" s="28">
        <f>+IF('Datos Recicladores'!G31="",'Datos Recicladores'!H31,'Datos Recicladores'!G31)</f>
        <v>0.33333333333333331</v>
      </c>
      <c r="H14" s="31">
        <f>+IF('Datos Recicladores'!O30="",'Datos Recicladores'!P30,'Datos Recicladores'!O30)</f>
        <v>0.16666666666666666</v>
      </c>
      <c r="J14" s="3"/>
      <c r="K14" s="33" t="s">
        <v>433</v>
      </c>
      <c r="M14" s="31" t="str">
        <f>+IF('Datos Recicladores'!G55="","",'Datos Recicladores'!G55)</f>
        <v/>
      </c>
    </row>
    <row r="15" spans="2:19" x14ac:dyDescent="0.25">
      <c r="B15" s="27" t="s">
        <v>105</v>
      </c>
      <c r="C15" s="27" t="str">
        <f>+'Datos Recicladores'!G26</f>
        <v>Peso (Toneladas)</v>
      </c>
      <c r="D15" s="3"/>
      <c r="E15" s="10" t="s">
        <v>236</v>
      </c>
      <c r="J15" s="3"/>
      <c r="K15" s="33" t="s">
        <v>153</v>
      </c>
      <c r="M15" s="31" t="str">
        <f>+IF('Datos Recicladores'!G56="","",'Datos Recicladores'!G56)</f>
        <v/>
      </c>
    </row>
    <row r="16" spans="2:19" x14ac:dyDescent="0.25">
      <c r="B16" s="27" t="s">
        <v>467</v>
      </c>
      <c r="C16" s="27" t="str">
        <f>+'Datos Recicladores'!O26</f>
        <v>Volumen (m3)</v>
      </c>
      <c r="D16" s="3"/>
      <c r="E16" t="s">
        <v>245</v>
      </c>
      <c r="F16" s="27">
        <f>+IF('Datos Recicladores'!G32="",'Datos Recicladores'!H32,'Datos Recicladores'!G32)</f>
        <v>1</v>
      </c>
      <c r="H16" s="27">
        <f>+IF(C11&lt;4,0,IF('Datos Recicladores'!O31="",'Datos Recicladores'!P31,'Datos Recicladores'!O31))</f>
        <v>1</v>
      </c>
      <c r="J16" s="3"/>
      <c r="K16" t="s">
        <v>691</v>
      </c>
      <c r="M16" s="31" t="str">
        <f>+IF('Datos Recicladores'!M53="","",'Datos Recicladores'!M53)</f>
        <v/>
      </c>
    </row>
    <row r="17" spans="2:13" x14ac:dyDescent="0.25">
      <c r="B17" s="27"/>
      <c r="C17" s="27"/>
      <c r="D17" s="3"/>
      <c r="E17" t="s">
        <v>246</v>
      </c>
      <c r="F17" s="27">
        <f>+IF(F7="Equipo de tracción manual",0,1)</f>
        <v>1</v>
      </c>
      <c r="H17" s="27"/>
      <c r="J17" s="3"/>
      <c r="K17" t="s">
        <v>692</v>
      </c>
      <c r="M17" s="31" t="str">
        <f>+IF('Datos Recicladores'!M54="","",'Datos Recicladores'!M54)</f>
        <v/>
      </c>
    </row>
    <row r="18" spans="2:13" x14ac:dyDescent="0.25">
      <c r="D18" s="3"/>
      <c r="E18" t="s">
        <v>350</v>
      </c>
      <c r="F18" s="74">
        <f>+IF('Datos Recicladores'!G83="",'Datos Recicladores'!H83*ROUNDUP(('C.Recicladores'!F16*F24+'C.Recicladores'!H16*H24)/20,0),'Datos Recicladores'!G83*ROUNDUP(('C.Recicladores'!F16*F24+'C.Recicladores'!H16*H24)/20,0))</f>
        <v>0</v>
      </c>
      <c r="J18" s="3"/>
      <c r="K18" t="s">
        <v>693</v>
      </c>
      <c r="M18" s="31" t="str">
        <f>+IF('Datos Recicladores'!M55="","",'Datos Recicladores'!M55)</f>
        <v/>
      </c>
    </row>
    <row r="19" spans="2:13" x14ac:dyDescent="0.25">
      <c r="B19" s="27" t="s">
        <v>255</v>
      </c>
      <c r="C19" s="31">
        <f>+Cálculos!G14</f>
        <v>0</v>
      </c>
      <c r="D19" s="3"/>
      <c r="E19" t="s">
        <v>247</v>
      </c>
      <c r="F19" s="29">
        <f>(IF(C15="Peso (toneladas)",C20,C23)/F9)</f>
        <v>0</v>
      </c>
      <c r="H19" s="29">
        <f>+IFERROR(ROUNDUP(IF(C16="Peso (toneladas)",C20,C23)/H9,0),0)</f>
        <v>0</v>
      </c>
      <c r="J19" s="3"/>
      <c r="K19" s="44" t="s">
        <v>694</v>
      </c>
      <c r="M19" s="31" t="str">
        <f>+IF('Datos Recicladores'!N53="","",'Datos Recicladores'!N53)</f>
        <v/>
      </c>
    </row>
    <row r="20" spans="2:13" x14ac:dyDescent="0.25">
      <c r="B20" s="27" t="s">
        <v>256</v>
      </c>
      <c r="C20" s="31">
        <f>+Cálculos!G15</f>
        <v>0</v>
      </c>
      <c r="D20" s="3"/>
      <c r="E20" t="s">
        <v>248</v>
      </c>
      <c r="F20" s="29">
        <f>+IF('Datos Recicladores'!G82="",'Datos Recicladores'!H82,'Datos Recicladores'!G82)/'C.Recicladores'!F10</f>
        <v>7.0000000000000018</v>
      </c>
      <c r="H20" s="29">
        <f>+IF('Datos Recicladores'!G82&gt;0,'Datos Recicladores'!G82,'Datos Recicladores'!H82)/'C.Recicladores'!H10</f>
        <v>3.4285714285714288</v>
      </c>
      <c r="J20" s="3"/>
      <c r="K20" t="s">
        <v>695</v>
      </c>
      <c r="M20" s="31" t="str">
        <f>+IF('Datos Recicladores'!N54="","",'Datos Recicladores'!N54)</f>
        <v/>
      </c>
    </row>
    <row r="21" spans="2:13" x14ac:dyDescent="0.25">
      <c r="D21" s="3"/>
      <c r="E21" t="s">
        <v>249</v>
      </c>
      <c r="F21" s="29">
        <f>+ROUNDUP((F19/(IF('Datos Recicladores'!G80="",'Datos Recicladores'!H80,'Datos Recicladores'!G80)))/(IF('Datos Recicladores'!G81="",'Datos Recicladores'!H81,'Datos Recicladores'!G81)*'C.Recicladores'!F20),0)</f>
        <v>0</v>
      </c>
      <c r="H21" s="29">
        <f>+ROUNDUP((H19/(IF('Datos Recicladores'!G80&gt;0,'Datos Recicladores'!G80,'Datos Recicladores'!H80)))/(IF('Datos Recicladores'!G81&gt;0,'Datos Recicladores'!G81,'Datos Recicladores'!H81)*'C.Recicladores'!H20),0)</f>
        <v>0</v>
      </c>
      <c r="J21" s="3"/>
      <c r="K21" t="s">
        <v>696</v>
      </c>
      <c r="M21" s="31" t="str">
        <f>+IF('Datos Recicladores'!N55="","",'Datos Recicladores'!N55)</f>
        <v/>
      </c>
    </row>
    <row r="22" spans="2:13" x14ac:dyDescent="0.25">
      <c r="B22" s="27" t="s">
        <v>276</v>
      </c>
      <c r="C22" s="31">
        <f>+Cálculos!H14</f>
        <v>0</v>
      </c>
      <c r="D22" s="3"/>
      <c r="E22" t="s">
        <v>250</v>
      </c>
      <c r="F22" s="2">
        <f>ROUNDUP(F21*IF('Datos Recicladores'!G33="",'Datos Recicladores'!H33,'Datos Recicladores'!G33),0)</f>
        <v>0</v>
      </c>
      <c r="H22" s="2">
        <f>+ROUNDUP(H21*IF('Datos Recicladores'!O32&gt;0,'Datos Recicladores'!O32,'Datos Recicladores'!P32),0)</f>
        <v>0</v>
      </c>
      <c r="J22" s="3"/>
      <c r="K22" t="s">
        <v>350</v>
      </c>
      <c r="M22" s="31" t="str">
        <f>+IF('Datos Recicladores'!O53="","",'Datos Recicladores'!O53)</f>
        <v/>
      </c>
    </row>
    <row r="23" spans="2:13" x14ac:dyDescent="0.25">
      <c r="B23" s="27" t="s">
        <v>277</v>
      </c>
      <c r="C23" s="31">
        <f>+Cálculos!H15</f>
        <v>0</v>
      </c>
      <c r="D23" s="3"/>
      <c r="E23" s="10" t="s">
        <v>251</v>
      </c>
      <c r="F23" s="32">
        <f>+F22+F21</f>
        <v>0</v>
      </c>
      <c r="G23" s="10"/>
      <c r="H23" s="32">
        <f>+H22+H21</f>
        <v>0</v>
      </c>
      <c r="J23" s="3"/>
      <c r="K23" s="26"/>
    </row>
    <row r="24" spans="2:13" x14ac:dyDescent="0.25">
      <c r="D24" s="3"/>
      <c r="E24" s="10" t="s">
        <v>252</v>
      </c>
      <c r="F24" s="32">
        <f>+F21*IF('Datos Recicladores'!G81="",'Datos Recicladores'!H81,'Datos Recicladores'!G81)</f>
        <v>0</v>
      </c>
      <c r="G24" s="10"/>
      <c r="H24" s="32">
        <f>+H21*IF('Datos Recicladores'!G81&gt;0,'Datos Recicladores'!G81,'Datos Recicladores'!H81)</f>
        <v>0</v>
      </c>
      <c r="J24" s="3"/>
    </row>
    <row r="25" spans="2:13" x14ac:dyDescent="0.25">
      <c r="B25" s="27" t="s">
        <v>96</v>
      </c>
      <c r="C25" s="27"/>
      <c r="D25" s="3"/>
      <c r="J25" s="3"/>
    </row>
    <row r="26" spans="2:13" x14ac:dyDescent="0.25">
      <c r="B26" s="27" t="str">
        <f>+'Datos Recicladores'!G35</f>
        <v>Gal/Km</v>
      </c>
      <c r="C26" s="27"/>
      <c r="D26" s="3"/>
      <c r="E26" s="10" t="s">
        <v>260</v>
      </c>
      <c r="F26" s="29">
        <f>+IF(F6="Combinación de Equipo de tracción manual con camión",0,IF('Datos Recicladores'!G37="Longitud (km)",IF('Datos Recicladores'!G39="",'Datos Recicladores'!H39,'Datos Recicladores'!G39),IF('Datos Recicladores'!G39="",'Datos Recicladores'!H39,'Datos Recicladores'!G39)*'C.Recicladores'!F12))</f>
        <v>0</v>
      </c>
      <c r="G26" s="29"/>
      <c r="H26" s="29">
        <f>+IF('Datos Recicladores'!O34="Longitud (km)",IF('Datos Recicladores'!O35="",'Datos Recicladores'!P35,'Datos Recicladores'!O35),IF('Datos Recicladores'!O35="",'Datos Recicladores'!P35,'Datos Recicladores'!O35)*'C.Recicladores'!H12)</f>
        <v>0.98571428571428577</v>
      </c>
      <c r="J26" s="3"/>
    </row>
    <row r="27" spans="2:13" x14ac:dyDescent="0.25">
      <c r="D27" s="3"/>
      <c r="E27" s="10" t="s">
        <v>261</v>
      </c>
      <c r="F27" s="29">
        <f>+IF('Datos Recicladores'!G37="Longitud (km)",IF('Datos Recicladores'!G38="",'Datos Recicladores'!H38,'Datos Recicladores'!G38),IF('Datos Recicladores'!G38="",'Datos Recicladores'!H38,'Datos Recicladores'!G38)*'C.Recicladores'!F11)</f>
        <v>19.999999999999993</v>
      </c>
      <c r="H27" s="27">
        <v>0</v>
      </c>
      <c r="J27" s="3"/>
    </row>
    <row r="28" spans="2:13" x14ac:dyDescent="0.25">
      <c r="D28" s="3"/>
      <c r="E28" s="10"/>
      <c r="F28" s="29"/>
      <c r="G28" s="29"/>
      <c r="J28" s="3"/>
    </row>
    <row r="29" spans="2:13" x14ac:dyDescent="0.25">
      <c r="B29" s="40" t="s">
        <v>262</v>
      </c>
      <c r="C29" s="40"/>
      <c r="D29" s="3"/>
      <c r="E29" s="10" t="s">
        <v>96</v>
      </c>
      <c r="J29" s="3"/>
      <c r="K29" s="10" t="s">
        <v>96</v>
      </c>
    </row>
    <row r="30" spans="2:13" x14ac:dyDescent="0.25">
      <c r="B30" s="36" t="s">
        <v>85</v>
      </c>
      <c r="C30" s="37" t="s">
        <v>212</v>
      </c>
      <c r="D30" s="3"/>
      <c r="E30" s="34" t="s">
        <v>259</v>
      </c>
      <c r="F30" s="29">
        <f>+SUM(F31:F32)</f>
        <v>0</v>
      </c>
      <c r="G30" s="29"/>
      <c r="J30" s="3"/>
      <c r="K30" t="s">
        <v>259</v>
      </c>
      <c r="M30" s="27">
        <f>+SUMIF('Datos Recicladores'!I53:I56,"&gt;0")</f>
        <v>0</v>
      </c>
    </row>
    <row r="31" spans="2:13" x14ac:dyDescent="0.25">
      <c r="B31" s="31">
        <v>1.3</v>
      </c>
      <c r="C31" s="31">
        <v>1.4</v>
      </c>
      <c r="D31" s="3"/>
      <c r="E31" s="35" t="s">
        <v>263</v>
      </c>
      <c r="F31" s="29">
        <f>+IF(F7="Equipo de tracción manual",0,IF('Datos Recicladores'!G35="Gal/km",IF('Datos Recicladores'!G36="",'Datos Recicladores'!H36,'Datos Recicladores'!G36)*'C.Recicladores'!F26*'C.Recicladores'!F19,0.142857142857143*F12*F19*IF('Datos Recicladores'!G36="",'Datos Recicladores'!H36,'Datos Recicladores'!G36))*HLOOKUP(F7,'C.Recicladores'!B30:C31,2,0))</f>
        <v>0</v>
      </c>
      <c r="G31" s="29"/>
      <c r="H31" s="27">
        <v>0</v>
      </c>
      <c r="J31" s="3"/>
    </row>
    <row r="32" spans="2:13" x14ac:dyDescent="0.25">
      <c r="D32" s="3"/>
      <c r="E32" s="35" t="s">
        <v>264</v>
      </c>
      <c r="F32" s="29">
        <f>+IF(F7="Equipo de tracción manual",0,IF('Datos Recicladores'!G35="Gal/km",IF('Datos Recicladores'!G36="",'Datos Recicladores'!H36,'Datos Recicladores'!G36)*'C.Recicladores'!F27*'C.Recicladores'!F19,F11*F19*IF('Datos Recicladores'!G36="",'Datos Recicladores'!H36,'Datos Recicladores'!G36)))</f>
        <v>0</v>
      </c>
      <c r="H32" s="27">
        <v>0</v>
      </c>
      <c r="J32" s="3"/>
    </row>
    <row r="33" spans="2:19" x14ac:dyDescent="0.25">
      <c r="B33" s="27" t="s">
        <v>280</v>
      </c>
      <c r="C33" s="42">
        <f>+IF('Datos Recicladores'!M262="",'Datos Recicladores'!N262,'Datos Recicladores'!M262)</f>
        <v>0.127</v>
      </c>
      <c r="D33" s="3"/>
    </row>
    <row r="34" spans="2:19" x14ac:dyDescent="0.25">
      <c r="B34" s="27" t="s">
        <v>285</v>
      </c>
      <c r="C34" s="43">
        <f>(1+C33)^(1/12)-1</f>
        <v>1.0013068206861098E-2</v>
      </c>
      <c r="D34" s="3"/>
    </row>
    <row r="35" spans="2:19" ht="21" x14ac:dyDescent="0.35">
      <c r="D35" s="3"/>
      <c r="E35" s="1203" t="s">
        <v>382</v>
      </c>
      <c r="F35" s="1203"/>
      <c r="G35" s="1203"/>
      <c r="H35" s="1203"/>
      <c r="I35" s="1203"/>
      <c r="J35" s="1203"/>
      <c r="K35" s="1203"/>
      <c r="M35" s="1204" t="s">
        <v>289</v>
      </c>
      <c r="N35" s="1205"/>
      <c r="O35" s="1205"/>
      <c r="P35" s="1205"/>
      <c r="Q35" s="1205"/>
      <c r="R35" s="1205"/>
    </row>
    <row r="36" spans="2:19" x14ac:dyDescent="0.25">
      <c r="B36" s="27" t="s">
        <v>473</v>
      </c>
      <c r="C36" s="27"/>
      <c r="D36" s="3"/>
      <c r="E36" s="1193" t="str">
        <f>+E85</f>
        <v>Costos de inversión y preinversión</v>
      </c>
      <c r="F36" s="1193"/>
      <c r="G36" s="1193"/>
      <c r="H36" s="1193"/>
      <c r="I36" s="1193"/>
      <c r="J36" s="1193"/>
      <c r="K36" s="1193"/>
      <c r="L36" s="1193"/>
      <c r="M36" s="1193"/>
      <c r="N36" s="1193"/>
      <c r="O36" s="1193"/>
      <c r="P36" s="1193"/>
      <c r="Q36" s="1193"/>
      <c r="R36" s="1193"/>
      <c r="S36" s="1193"/>
    </row>
    <row r="37" spans="2:19" x14ac:dyDescent="0.25">
      <c r="B37" s="27" t="s">
        <v>125</v>
      </c>
      <c r="C37" s="27" t="b">
        <v>0</v>
      </c>
      <c r="D37" s="3"/>
    </row>
    <row r="38" spans="2:19" x14ac:dyDescent="0.25">
      <c r="B38" s="27" t="s">
        <v>424</v>
      </c>
      <c r="C38" s="27" t="b">
        <v>0</v>
      </c>
      <c r="D38" s="3"/>
      <c r="N38" s="46" t="s">
        <v>288</v>
      </c>
      <c r="O38" s="46"/>
      <c r="P38" s="46"/>
      <c r="Q38" s="46"/>
    </row>
    <row r="39" spans="2:19" x14ac:dyDescent="0.25">
      <c r="B39" s="27" t="s">
        <v>474</v>
      </c>
      <c r="C39" s="27" t="b">
        <v>1</v>
      </c>
      <c r="D39" s="3"/>
      <c r="F39" s="10" t="s">
        <v>110</v>
      </c>
      <c r="G39" s="10" t="s">
        <v>267</v>
      </c>
      <c r="H39" s="10" t="s">
        <v>268</v>
      </c>
      <c r="I39" s="46" t="s">
        <v>272</v>
      </c>
      <c r="J39" s="46"/>
      <c r="K39" s="10" t="s">
        <v>299</v>
      </c>
      <c r="M39" s="141" t="s">
        <v>469</v>
      </c>
      <c r="N39" s="136" t="s">
        <v>424</v>
      </c>
      <c r="O39" s="136" t="s">
        <v>137</v>
      </c>
      <c r="Q39" s="10" t="s">
        <v>125</v>
      </c>
      <c r="R39" s="10" t="s">
        <v>424</v>
      </c>
      <c r="S39" s="10" t="s">
        <v>137</v>
      </c>
    </row>
    <row r="40" spans="2:19" x14ac:dyDescent="0.25">
      <c r="D40" s="3"/>
      <c r="E40" t="s">
        <v>85</v>
      </c>
      <c r="F40">
        <f>+IFERROR(IF(F6="Equipo de tracción manual",0,IF(M12="",IF(OR(F7="vehículo motorizado mediano",F6="combinación de Equipo de tracción manual con camión"),0,F23),M12)),0)</f>
        <v>0</v>
      </c>
      <c r="G40" s="2">
        <f>+IF('Datos Recicladores'!I66="",'Datos Recicladores'!K66,'Datos Recicladores'!I66)</f>
        <v>7290.2503836494298</v>
      </c>
      <c r="H40" s="2">
        <f>+G40*F40</f>
        <v>0</v>
      </c>
      <c r="I40" s="1202">
        <f>+IF(AND('Datos Recicladores'!$G$34="",'Datos Recicladores'!K53=""),'Datos Recicladores'!$H$34,IF('Datos Recicladores'!K53="",'Datos Recicladores'!$G$34,'Datos Recicladores'!K53))</f>
        <v>12</v>
      </c>
      <c r="J40" s="1202"/>
      <c r="K40" s="2">
        <f>+IF(F40&gt;0,PMT($C$34,I40*12,-H40),0)</f>
        <v>0</v>
      </c>
      <c r="M40" t="b">
        <v>1</v>
      </c>
      <c r="N40" t="b">
        <v>0</v>
      </c>
      <c r="O40" t="b">
        <v>0</v>
      </c>
      <c r="Q40" s="2">
        <f>+IF(M40=TRUE,K40,0)</f>
        <v>0</v>
      </c>
      <c r="R40" s="2">
        <f>+IF(N40=TRUE,K40,0)</f>
        <v>0</v>
      </c>
      <c r="S40" s="2">
        <f>+IF(O40=TRUE,K40,0)</f>
        <v>0</v>
      </c>
    </row>
    <row r="41" spans="2:19" x14ac:dyDescent="0.25">
      <c r="D41" s="3"/>
      <c r="E41" t="s">
        <v>212</v>
      </c>
      <c r="F41">
        <f>+IF(M13="",IF(OR(F7="vehículo motorizado mediano",F6="combinación de Equipo de tracción manual con camión"),F23,0),M13)</f>
        <v>0</v>
      </c>
      <c r="G41" s="2">
        <f>+IF('Datos Recicladores'!I67="",'Datos Recicladores'!K67,'Datos Recicladores'!I67)</f>
        <v>29161.001534597701</v>
      </c>
      <c r="H41" s="2">
        <f>+G41*F41</f>
        <v>0</v>
      </c>
      <c r="I41" s="1202">
        <f>+IF(AND('Datos Recicladores'!$G$34="",'Datos Recicladores'!K54=""),'Datos Recicladores'!$H$34,IF('Datos Recicladores'!K54="",'Datos Recicladores'!$G$34,'Datos Recicladores'!K54))</f>
        <v>12</v>
      </c>
      <c r="J41" s="1202"/>
      <c r="K41" s="2">
        <f>+IF(F41&gt;0,PMT($C$34,I41*12,-H41),0)</f>
        <v>0</v>
      </c>
      <c r="M41" t="b">
        <v>1</v>
      </c>
      <c r="N41" t="b">
        <v>0</v>
      </c>
      <c r="O41" t="b">
        <v>0</v>
      </c>
      <c r="Q41" s="2">
        <f>+IF(M41=TRUE,K41,0)</f>
        <v>0</v>
      </c>
      <c r="R41" s="2">
        <f>+IF(N41=TRUE,K41,0)</f>
        <v>0</v>
      </c>
      <c r="S41" s="2">
        <f>+IF(O41=TRUE,K41,0)</f>
        <v>0</v>
      </c>
    </row>
    <row r="42" spans="2:19" x14ac:dyDescent="0.25">
      <c r="D42" s="3"/>
      <c r="E42" s="74" t="s">
        <v>433</v>
      </c>
      <c r="F42" s="74">
        <f>+IF(M14="",IF(F7="Equipo de tracción manual",F23,IF(F6="Combinación de Equipo de tracción manual con camión",H23,0)),M14)</f>
        <v>0</v>
      </c>
      <c r="G42" s="38">
        <f>+IF('Datos Recicladores'!I68="",'Datos Recicladores'!K68,'Datos Recicladores'!I68)</f>
        <v>364.51251918247101</v>
      </c>
      <c r="H42" s="38">
        <f>+G42*F42</f>
        <v>0</v>
      </c>
      <c r="I42" s="1210">
        <f>+IF(AND('Datos Recicladores'!$O$33="",'Datos Recicladores'!K55=""),'Datos Recicladores'!$P$33,IF('Datos Recicladores'!K55="",'Datos Recicladores'!$O$33,'Datos Recicladores'!K55))</f>
        <v>2</v>
      </c>
      <c r="J42" s="1210"/>
      <c r="K42" s="38">
        <f>+IF(F42&gt;0,PMT($C$34,I42*12,-H42),0)</f>
        <v>0</v>
      </c>
      <c r="M42" t="b">
        <v>1</v>
      </c>
      <c r="N42" t="b">
        <v>0</v>
      </c>
      <c r="O42" t="b">
        <v>0</v>
      </c>
      <c r="Q42" s="2">
        <f>+IF(M42=TRUE,K42,0)</f>
        <v>0</v>
      </c>
      <c r="R42" s="2">
        <f>+IF(N42=TRUE,K42,0)</f>
        <v>0</v>
      </c>
      <c r="S42" s="2">
        <f>+IF(O42=TRUE,K42,0)</f>
        <v>0</v>
      </c>
    </row>
    <row r="43" spans="2:19" x14ac:dyDescent="0.25">
      <c r="D43" s="3"/>
      <c r="E43" t="s">
        <v>153</v>
      </c>
      <c r="F43">
        <f>+IF(M15="",'Datos Recicladores'!G40,M15)</f>
        <v>0</v>
      </c>
      <c r="G43" s="2">
        <f>+IF('Datos Recicladores'!I69="",'Datos Recicladores'!K69,'Datos Recicladores'!I69)</f>
        <v>320</v>
      </c>
      <c r="H43" s="2">
        <f>+G43*F43</f>
        <v>0</v>
      </c>
      <c r="I43" s="1202">
        <f>+IF(AND('Datos Recicladores'!$G$41="",'Datos Recicladores'!K56=""),6,IF('Datos Recicladores'!K56="",'Datos Recicladores'!$G$41,'Datos Recicladores'!K56))</f>
        <v>6</v>
      </c>
      <c r="J43" s="1202"/>
      <c r="K43" s="2">
        <f>+IF(F43&gt;0,PMT($C$34,I43*12,-H43),0)</f>
        <v>0</v>
      </c>
      <c r="M43" t="b">
        <v>1</v>
      </c>
      <c r="N43" t="b">
        <v>0</v>
      </c>
      <c r="O43" t="b">
        <v>0</v>
      </c>
      <c r="Q43" s="2">
        <f>+IF(M43=TRUE,K43,0)</f>
        <v>0</v>
      </c>
      <c r="R43" s="2">
        <f>+IF(N43=TRUE,K43,0)</f>
        <v>0</v>
      </c>
      <c r="S43" s="2">
        <f>+IF(O43=TRUE,K43,0)</f>
        <v>0</v>
      </c>
    </row>
    <row r="44" spans="2:19" x14ac:dyDescent="0.25">
      <c r="D44" s="3"/>
      <c r="E44" s="10" t="s">
        <v>9</v>
      </c>
      <c r="F44" s="10"/>
      <c r="G44" s="10"/>
      <c r="H44" s="32">
        <f>+SUM(H40:H43)</f>
        <v>0</v>
      </c>
      <c r="I44" s="10"/>
      <c r="J44" s="10"/>
      <c r="K44" s="32">
        <f>+SUM(K40:K43)</f>
        <v>0</v>
      </c>
      <c r="P44" s="10" t="s">
        <v>9</v>
      </c>
      <c r="Q44" s="32">
        <f>+SUM(Q40:Q43)</f>
        <v>0</v>
      </c>
      <c r="R44" s="32">
        <f>+SUM(R40:R43)</f>
        <v>0</v>
      </c>
      <c r="S44" s="32">
        <f>+SUM(S40:S43)</f>
        <v>0</v>
      </c>
    </row>
    <row r="45" spans="2:19" x14ac:dyDescent="0.25">
      <c r="D45" s="3"/>
    </row>
    <row r="46" spans="2:19" x14ac:dyDescent="0.25">
      <c r="D46" s="3"/>
    </row>
    <row r="47" spans="2:19" x14ac:dyDescent="0.25">
      <c r="D47" s="3"/>
      <c r="E47" s="1193" t="str">
        <f>+E87</f>
        <v>Costos variables</v>
      </c>
      <c r="F47" s="1193"/>
      <c r="G47" s="1193"/>
      <c r="H47" s="1193"/>
      <c r="I47" s="1193"/>
      <c r="J47" s="1193"/>
      <c r="K47" s="1193"/>
      <c r="L47" s="1193"/>
      <c r="M47" s="1193"/>
      <c r="N47" s="1193"/>
      <c r="O47" s="1193"/>
      <c r="P47" s="1193"/>
      <c r="Q47" s="1193"/>
      <c r="R47" s="1193"/>
      <c r="S47" s="1193"/>
    </row>
    <row r="48" spans="2:19" x14ac:dyDescent="0.25">
      <c r="D48" s="3"/>
    </row>
    <row r="49" spans="4:19" x14ac:dyDescent="0.25">
      <c r="D49" s="3"/>
      <c r="E49" s="10" t="s">
        <v>265</v>
      </c>
      <c r="Q49" s="10"/>
      <c r="R49" s="10"/>
    </row>
    <row r="50" spans="4:19" x14ac:dyDescent="0.25">
      <c r="D50" s="3"/>
      <c r="E50" t="s">
        <v>470</v>
      </c>
      <c r="F50" s="29">
        <f>+IFERROR(IF(M30&gt;0,M30,SUM(F31:F32))*'Datos Recicladores'!H113,0)</f>
        <v>0</v>
      </c>
      <c r="M50" s="141" t="s">
        <v>469</v>
      </c>
      <c r="N50" s="136" t="s">
        <v>424</v>
      </c>
      <c r="O50" s="136" t="s">
        <v>137</v>
      </c>
      <c r="Q50" s="10" t="s">
        <v>125</v>
      </c>
      <c r="R50" s="10" t="s">
        <v>424</v>
      </c>
      <c r="S50" s="10" t="s">
        <v>137</v>
      </c>
    </row>
    <row r="51" spans="4:19" x14ac:dyDescent="0.25">
      <c r="D51" s="3"/>
      <c r="M51" t="b">
        <v>1</v>
      </c>
      <c r="N51" t="b">
        <v>0</v>
      </c>
      <c r="O51" t="b">
        <v>0</v>
      </c>
      <c r="P51" t="b">
        <v>0</v>
      </c>
      <c r="Q51" s="2">
        <f>+IF(M51=TRUE,$F$50,0)</f>
        <v>0</v>
      </c>
      <c r="R51" s="2">
        <f>+IF(N51=TRUE,$F$50,0)</f>
        <v>0</v>
      </c>
      <c r="S51" s="2">
        <f>+IF(O51=TRUE,$F$50,0)</f>
        <v>0</v>
      </c>
    </row>
    <row r="52" spans="4:19" x14ac:dyDescent="0.25">
      <c r="D52" s="3"/>
      <c r="E52" s="10" t="s">
        <v>238</v>
      </c>
      <c r="F52" s="29"/>
      <c r="M52" t="b">
        <v>1</v>
      </c>
      <c r="N52" t="b">
        <v>0</v>
      </c>
      <c r="O52" t="b">
        <v>0</v>
      </c>
      <c r="P52" t="b">
        <v>0</v>
      </c>
      <c r="Q52" s="2">
        <f>+IF(M52=TRUE,$F$53,0)</f>
        <v>0</v>
      </c>
      <c r="R52" s="2">
        <f>+IF(N52=TRUE,$F$53,0)</f>
        <v>0</v>
      </c>
      <c r="S52" s="2">
        <f>+IF(O52=TRUE,$F$53,0)</f>
        <v>0</v>
      </c>
    </row>
    <row r="53" spans="4:19" x14ac:dyDescent="0.25">
      <c r="D53" s="3"/>
      <c r="E53" t="s">
        <v>460</v>
      </c>
      <c r="F53" s="29">
        <f>+IFERROR(IF('Datos Recicladores'!H114="",'Datos Recicladores'!J114,'Datos Recicladores'!H114),0)*(F40+F41)</f>
        <v>0</v>
      </c>
      <c r="M53" t="b">
        <v>1</v>
      </c>
      <c r="N53" t="b">
        <v>0</v>
      </c>
      <c r="O53" t="b">
        <v>0</v>
      </c>
      <c r="P53" s="2" t="b">
        <v>0</v>
      </c>
      <c r="Q53" s="2">
        <f>+IF(M53=TRUE,$F$54,0)</f>
        <v>0</v>
      </c>
      <c r="R53" s="2">
        <f>+IF(N53=TRUE,$F$54,0)</f>
        <v>0</v>
      </c>
      <c r="S53" s="2">
        <f>+IF(O53=TRUE,$F$54,0)</f>
        <v>0</v>
      </c>
    </row>
    <row r="54" spans="4:19" x14ac:dyDescent="0.25">
      <c r="D54" s="3"/>
      <c r="E54" t="s">
        <v>461</v>
      </c>
      <c r="F54" s="29">
        <f>+IF(C11=C9,IF('Datos Recicladores'!H118="",'Datos Recicladores'!J118,'Datos Recicladores'!H118),IF('Datos Recicladores'!H114="",'Datos Recicladores'!J114,'Datos Recicladores'!H114))*F42</f>
        <v>0</v>
      </c>
      <c r="G54" s="2"/>
      <c r="O54" t="s">
        <v>9</v>
      </c>
      <c r="P54" s="32"/>
      <c r="Q54" s="32">
        <f>+SUM(Q51:Q53)</f>
        <v>0</v>
      </c>
      <c r="R54" s="32">
        <f>+SUM(R51:R53)</f>
        <v>0</v>
      </c>
      <c r="S54" s="32">
        <f>+SUM(S51:S53)</f>
        <v>0</v>
      </c>
    </row>
    <row r="55" spans="4:19" x14ac:dyDescent="0.25">
      <c r="D55" s="3"/>
      <c r="E55" t="s">
        <v>409</v>
      </c>
      <c r="F55" s="29">
        <f>+IFERROR(C139,0)</f>
        <v>0</v>
      </c>
    </row>
    <row r="56" spans="4:19" x14ac:dyDescent="0.25">
      <c r="D56" s="3"/>
    </row>
    <row r="57" spans="4:19" x14ac:dyDescent="0.25">
      <c r="D57" s="3"/>
      <c r="E57" s="1193" t="str">
        <f>+E88</f>
        <v>Costos de personal</v>
      </c>
      <c r="F57" s="1193"/>
      <c r="G57" s="1193"/>
      <c r="H57" s="1193"/>
      <c r="I57" s="1193"/>
      <c r="J57" s="1193"/>
      <c r="K57" s="1193"/>
      <c r="L57" s="1193"/>
      <c r="M57" s="1193"/>
      <c r="N57" s="1193"/>
      <c r="O57" s="1193"/>
      <c r="P57" s="1193"/>
      <c r="Q57" s="1193"/>
      <c r="R57" s="1193"/>
      <c r="S57" s="1193"/>
    </row>
    <row r="58" spans="4:19" x14ac:dyDescent="0.25">
      <c r="D58" s="3"/>
    </row>
    <row r="59" spans="4:19" ht="30" customHeight="1" x14ac:dyDescent="0.25">
      <c r="D59" s="3"/>
      <c r="E59" t="s">
        <v>136</v>
      </c>
      <c r="F59" s="50" t="str">
        <f>+L61</f>
        <v>Operario de recolección del Equipo de tracción manual</v>
      </c>
      <c r="G59" s="139" t="str">
        <f>+L62</f>
        <v>Operario de recolección del vehículo motorizado</v>
      </c>
      <c r="H59" s="140" t="str">
        <f>+L63</f>
        <v>Conductor</v>
      </c>
      <c r="I59" s="51" t="str">
        <f>+L64</f>
        <v>Supervisor</v>
      </c>
      <c r="K59" s="140"/>
    </row>
    <row r="60" spans="4:19" x14ac:dyDescent="0.25">
      <c r="D60" s="3"/>
      <c r="E60" t="s">
        <v>128</v>
      </c>
      <c r="F60" s="47">
        <f>+'Datos Recicladores'!J88</f>
        <v>0</v>
      </c>
      <c r="G60" s="137">
        <f>+'Datos Recicladores'!M88</f>
        <v>0</v>
      </c>
      <c r="H60" s="137">
        <f>+'Datos Recicladores'!N88</f>
        <v>0</v>
      </c>
      <c r="I60" s="48">
        <f>+'Datos Recicladores'!O88</f>
        <v>0</v>
      </c>
      <c r="M60" s="141" t="s">
        <v>469</v>
      </c>
      <c r="N60" s="136" t="s">
        <v>424</v>
      </c>
      <c r="O60" s="136" t="s">
        <v>137</v>
      </c>
      <c r="Q60" s="10" t="s">
        <v>125</v>
      </c>
      <c r="R60" s="10" t="s">
        <v>424</v>
      </c>
      <c r="S60" s="10" t="s">
        <v>137</v>
      </c>
    </row>
    <row r="61" spans="4:19" x14ac:dyDescent="0.25">
      <c r="D61" s="3"/>
      <c r="E61" t="s">
        <v>129</v>
      </c>
      <c r="F61" s="47">
        <f>+'Datos Recicladores'!J89</f>
        <v>0</v>
      </c>
      <c r="G61" s="137">
        <f>+'Datos Recicladores'!M89</f>
        <v>0</v>
      </c>
      <c r="H61" s="137">
        <f>+'Datos Recicladores'!N89</f>
        <v>0</v>
      </c>
      <c r="I61" s="48">
        <f>+'Datos Recicladores'!O89</f>
        <v>0</v>
      </c>
      <c r="L61" s="52" t="s">
        <v>455</v>
      </c>
      <c r="M61" t="b">
        <v>1</v>
      </c>
      <c r="N61" t="b">
        <v>0</v>
      </c>
      <c r="O61" t="b">
        <v>0</v>
      </c>
      <c r="Q61" s="63">
        <f>+IF(M61=TRUE,F68,0)</f>
        <v>0</v>
      </c>
      <c r="R61" s="2">
        <f>+IF(N61=TRUE,F68,0)</f>
        <v>0</v>
      </c>
      <c r="S61" s="2">
        <f>+IF(O61=TRUE,F68,0)</f>
        <v>0</v>
      </c>
    </row>
    <row r="62" spans="4:19" x14ac:dyDescent="0.25">
      <c r="D62" s="3"/>
      <c r="E62" t="s">
        <v>130</v>
      </c>
      <c r="F62" s="49">
        <f>+F60*'Datos Recicladores'!J90</f>
        <v>0</v>
      </c>
      <c r="G62" s="138">
        <f>+$G$60*'Datos Recicladores'!M90</f>
        <v>0</v>
      </c>
      <c r="H62" s="138">
        <f>+$H$60*'Datos Recicladores'!N90</f>
        <v>0</v>
      </c>
      <c r="I62" s="8">
        <f>+$I$60*'Datos Recicladores'!O90</f>
        <v>0</v>
      </c>
      <c r="L62" s="52" t="s">
        <v>140</v>
      </c>
      <c r="M62" t="b">
        <v>1</v>
      </c>
      <c r="N62" t="b">
        <v>0</v>
      </c>
      <c r="O62" t="b">
        <v>0</v>
      </c>
      <c r="Q62" s="63">
        <f>+IF(M62=TRUE,G68,0)</f>
        <v>0</v>
      </c>
      <c r="R62" s="2">
        <f>+IF(N62=TRUE,G68,0)</f>
        <v>0</v>
      </c>
      <c r="S62" s="2">
        <f>+IF(O62=TRUE,G68,0)</f>
        <v>0</v>
      </c>
    </row>
    <row r="63" spans="4:19" x14ac:dyDescent="0.25">
      <c r="D63" s="3"/>
      <c r="E63" t="s">
        <v>131</v>
      </c>
      <c r="F63" s="49">
        <f>+$F$60*'Datos Recicladores'!J91</f>
        <v>0</v>
      </c>
      <c r="G63" s="138">
        <f>+$G$60*'Datos Recicladores'!M91</f>
        <v>0</v>
      </c>
      <c r="H63" s="138">
        <f>+$H$60*'Datos Recicladores'!N91</f>
        <v>0</v>
      </c>
      <c r="I63" s="8">
        <f>+$I$60*'Datos Recicladores'!O91</f>
        <v>0</v>
      </c>
      <c r="L63" s="52" t="s">
        <v>134</v>
      </c>
      <c r="M63" t="b">
        <v>1</v>
      </c>
      <c r="N63" t="b">
        <v>0</v>
      </c>
      <c r="O63" t="b">
        <v>0</v>
      </c>
      <c r="Q63" s="63">
        <f>+IF(M63=TRUE,H68,0)</f>
        <v>0</v>
      </c>
      <c r="R63" s="2">
        <f>+IF(N63=TRUE,H68,0)</f>
        <v>0</v>
      </c>
      <c r="S63" s="2">
        <f>+IF(O62=TRUE,H68,0)</f>
        <v>0</v>
      </c>
    </row>
    <row r="64" spans="4:19" x14ac:dyDescent="0.25">
      <c r="D64" s="3"/>
      <c r="E64" t="s">
        <v>132</v>
      </c>
      <c r="F64" s="49">
        <f>+$F$60*'Datos Recicladores'!J92</f>
        <v>0</v>
      </c>
      <c r="G64" s="138">
        <f>+$G$60*'Datos Recicladores'!M92</f>
        <v>0</v>
      </c>
      <c r="H64" s="138">
        <f>+$H$60*'Datos Recicladores'!N92</f>
        <v>0</v>
      </c>
      <c r="I64" s="8">
        <f>+$I$60*'Datos Recicladores'!O92</f>
        <v>0</v>
      </c>
      <c r="L64" s="52" t="s">
        <v>159</v>
      </c>
      <c r="M64" t="b">
        <v>1</v>
      </c>
      <c r="N64" t="b">
        <v>0</v>
      </c>
      <c r="O64" t="b">
        <v>0</v>
      </c>
      <c r="Q64" s="63">
        <f>+IF(M64=TRUE,I68,0)</f>
        <v>0</v>
      </c>
      <c r="R64" s="2">
        <f>+IF(N64=TRUE,I68,0)</f>
        <v>0</v>
      </c>
      <c r="S64" s="2">
        <f>+IF(O62=TRUE,I68,0)</f>
        <v>0</v>
      </c>
    </row>
    <row r="65" spans="5:19" x14ac:dyDescent="0.25">
      <c r="E65" t="s">
        <v>133</v>
      </c>
      <c r="F65" s="49">
        <f>+$F$60*'Datos Recicladores'!J93</f>
        <v>0</v>
      </c>
      <c r="G65" s="138">
        <f>+$G$60*'Datos Recicladores'!M93</f>
        <v>0</v>
      </c>
      <c r="H65" s="138">
        <f>+$H$60*'Datos Recicladores'!N93</f>
        <v>0</v>
      </c>
      <c r="I65" s="8">
        <f>+$I$60*'Datos Recicladores'!O93</f>
        <v>0</v>
      </c>
      <c r="P65" s="10" t="s">
        <v>9</v>
      </c>
      <c r="Q65" s="32">
        <f>+SUM(Q61:Q64)</f>
        <v>0</v>
      </c>
      <c r="R65" s="32">
        <f>+SUM(R61:R64)</f>
        <v>0</v>
      </c>
      <c r="S65" s="32">
        <f>+SUM(S61:S64)</f>
        <v>0</v>
      </c>
    </row>
    <row r="66" spans="5:19" x14ac:dyDescent="0.25">
      <c r="E66" t="s">
        <v>135</v>
      </c>
      <c r="F66" s="47">
        <f>+'Datos Recicladores'!J94</f>
        <v>0</v>
      </c>
      <c r="G66" s="137">
        <f>+'Datos Recicladores'!M94</f>
        <v>0</v>
      </c>
      <c r="H66" s="137">
        <f>+'Datos Recicladores'!N94</f>
        <v>0</v>
      </c>
      <c r="I66" s="48">
        <f>+'Datos Recicladores'!O94</f>
        <v>0</v>
      </c>
    </row>
    <row r="67" spans="5:19" x14ac:dyDescent="0.25">
      <c r="E67" s="10" t="s">
        <v>9</v>
      </c>
      <c r="F67" s="49">
        <f>+SUM(F60:F66)</f>
        <v>0</v>
      </c>
      <c r="G67" s="138">
        <f>+SUM(G60:G66)</f>
        <v>0</v>
      </c>
      <c r="H67" s="138">
        <f>+SUM(H60:H66)</f>
        <v>0</v>
      </c>
      <c r="I67" s="8">
        <f>+SUM(I60:I66)</f>
        <v>0</v>
      </c>
    </row>
    <row r="68" spans="5:19" x14ac:dyDescent="0.25">
      <c r="E68" s="10" t="s">
        <v>351</v>
      </c>
      <c r="F68" s="49">
        <f>+IF(M18="",H16*H24,M18*F42)*F67</f>
        <v>0</v>
      </c>
      <c r="G68" s="429">
        <f>+IFERROR(IF(AND(M16="",M17=""),F16*F24,IF(M16="",0,M16)*F40+IF(M17="",0,M17)*F41)*G67,0)</f>
        <v>0</v>
      </c>
      <c r="H68" s="623">
        <f>+IFERROR(IF(AND(M19="",M20="",M21=""),F17*F24,IF(M19="",0,M19)*F40+IF(M20="",0,M20)*F41+IF(M21="",0,M21)*F42),0)*H67</f>
        <v>0</v>
      </c>
      <c r="I68" s="8">
        <f>+IFERROR(I67*IF(M22="",F18,M22),0)</f>
        <v>0</v>
      </c>
    </row>
    <row r="71" spans="5:19" x14ac:dyDescent="0.25">
      <c r="E71" s="1193" t="str">
        <f>+E86</f>
        <v>Costos fijos</v>
      </c>
      <c r="F71" s="1193"/>
      <c r="G71" s="1193"/>
      <c r="H71" s="1193"/>
      <c r="I71" s="1193"/>
      <c r="J71" s="1193"/>
      <c r="K71" s="1193"/>
      <c r="L71" s="1193"/>
      <c r="M71" s="1193"/>
      <c r="N71" s="1193"/>
      <c r="O71" s="1193"/>
      <c r="P71" s="1193"/>
      <c r="Q71" s="1193"/>
      <c r="R71" s="1193"/>
      <c r="S71" s="1193"/>
    </row>
    <row r="73" spans="5:19" x14ac:dyDescent="0.25">
      <c r="E73" t="s">
        <v>83</v>
      </c>
      <c r="G73" t="s">
        <v>139</v>
      </c>
      <c r="L73" t="s">
        <v>83</v>
      </c>
      <c r="M73" s="34" t="s">
        <v>469</v>
      </c>
      <c r="N73" t="s">
        <v>424</v>
      </c>
      <c r="O73" t="s">
        <v>137</v>
      </c>
      <c r="Q73" s="10" t="s">
        <v>125</v>
      </c>
      <c r="R73" s="10" t="s">
        <v>424</v>
      </c>
      <c r="S73" s="10" t="s">
        <v>137</v>
      </c>
    </row>
    <row r="74" spans="5:19" x14ac:dyDescent="0.25">
      <c r="E74" t="s">
        <v>85</v>
      </c>
      <c r="G74" s="29">
        <f>+IF(F40=0,0,F40)*IF('Datos Recicladores'!H127="",'Datos Recicladores'!J127,'Datos Recicladores'!H127)</f>
        <v>0</v>
      </c>
      <c r="L74" t="s">
        <v>85</v>
      </c>
      <c r="M74" t="b">
        <v>1</v>
      </c>
      <c r="N74" t="b">
        <v>0</v>
      </c>
      <c r="O74" t="b">
        <v>0</v>
      </c>
      <c r="Q74">
        <f>+IF(M74=TRUE,$G74,0)</f>
        <v>0</v>
      </c>
      <c r="R74" s="2">
        <f>+IF(N74=TRUE,$G74,0)</f>
        <v>0</v>
      </c>
      <c r="S74" s="2">
        <f>+IF(O74=TRUE,$G74,0)</f>
        <v>0</v>
      </c>
    </row>
    <row r="75" spans="5:19" x14ac:dyDescent="0.25">
      <c r="E75" t="s">
        <v>212</v>
      </c>
      <c r="G75" s="29">
        <f>+IF(F41=0,0,F41)*IF('Datos Recicladores'!H128="",'Datos Recicladores'!J128,'Datos Recicladores'!H128)</f>
        <v>0</v>
      </c>
      <c r="L75" t="s">
        <v>212</v>
      </c>
      <c r="M75" t="b">
        <v>1</v>
      </c>
      <c r="N75" t="b">
        <v>0</v>
      </c>
      <c r="O75" t="b">
        <v>0</v>
      </c>
      <c r="Q75">
        <f>+IF(M75=TRUE,$G75,0)</f>
        <v>0</v>
      </c>
      <c r="R75" s="2">
        <f t="shared" ref="R75:S77" si="0">+IF(N75=TRUE,$G75,0)</f>
        <v>0</v>
      </c>
      <c r="S75" s="2">
        <f t="shared" si="0"/>
        <v>0</v>
      </c>
    </row>
    <row r="76" spans="5:19" x14ac:dyDescent="0.25">
      <c r="E76" t="s">
        <v>433</v>
      </c>
      <c r="G76" s="29">
        <f>+IF(F42=0,0,F42)*IF('Datos Recicladores'!H129="",'Datos Recicladores'!J129,'Datos Recicladores'!H129)</f>
        <v>0</v>
      </c>
      <c r="L76" t="s">
        <v>433</v>
      </c>
      <c r="M76" t="b">
        <v>1</v>
      </c>
      <c r="N76" t="b">
        <v>0</v>
      </c>
      <c r="O76" t="b">
        <v>0</v>
      </c>
      <c r="Q76">
        <f>+IF(M76=TRUE,$G76,0)</f>
        <v>0</v>
      </c>
      <c r="R76" s="2">
        <f t="shared" si="0"/>
        <v>0</v>
      </c>
      <c r="S76" s="2">
        <f t="shared" si="0"/>
        <v>0</v>
      </c>
    </row>
    <row r="77" spans="5:19" x14ac:dyDescent="0.25">
      <c r="E77" t="s">
        <v>153</v>
      </c>
      <c r="G77" s="29">
        <f>+IF('Datos Recicladores'!H130="",'Datos Recicladores'!J130,'Datos Recicladores'!H130)</f>
        <v>0</v>
      </c>
      <c r="L77" t="s">
        <v>153</v>
      </c>
      <c r="M77" t="b">
        <v>1</v>
      </c>
      <c r="N77" t="b">
        <v>0</v>
      </c>
      <c r="O77" t="b">
        <v>0</v>
      </c>
      <c r="Q77">
        <f>+IF(M77=TRUE,$G77,0)</f>
        <v>0</v>
      </c>
      <c r="R77" s="2">
        <f t="shared" si="0"/>
        <v>0</v>
      </c>
      <c r="S77" s="2">
        <f t="shared" si="0"/>
        <v>0</v>
      </c>
    </row>
    <row r="78" spans="5:19" x14ac:dyDescent="0.25">
      <c r="E78" s="10" t="s">
        <v>9</v>
      </c>
      <c r="G78" s="32">
        <f>+IF(C11=0,0,SUM(G74:G77))</f>
        <v>0</v>
      </c>
      <c r="P78" s="10" t="s">
        <v>9</v>
      </c>
      <c r="Q78" s="29">
        <f>+SUM(Q74:Q77)</f>
        <v>0</v>
      </c>
      <c r="R78" s="29">
        <f>+SUM(R74:R77)</f>
        <v>0</v>
      </c>
      <c r="S78" s="29">
        <f>+SUM(S74:S77)</f>
        <v>0</v>
      </c>
    </row>
    <row r="82" spans="2:19" x14ac:dyDescent="0.25">
      <c r="E82" s="1209" t="s">
        <v>296</v>
      </c>
      <c r="F82" s="1209"/>
      <c r="G82" s="1209"/>
      <c r="H82" s="1209"/>
      <c r="I82" s="1209"/>
      <c r="J82" s="1209"/>
      <c r="K82" s="1209"/>
      <c r="L82" s="1209"/>
      <c r="M82" s="1209"/>
      <c r="N82" s="1209"/>
      <c r="O82" s="1209"/>
      <c r="P82" s="1209"/>
      <c r="Q82" s="1209"/>
      <c r="R82" s="1209"/>
      <c r="S82" s="1209"/>
    </row>
    <row r="84" spans="2:19" ht="26.25" x14ac:dyDescent="0.25">
      <c r="E84" s="10" t="s">
        <v>86</v>
      </c>
      <c r="F84" s="10" t="s">
        <v>298</v>
      </c>
      <c r="M84" s="10" t="s">
        <v>86</v>
      </c>
      <c r="N84" t="s">
        <v>426</v>
      </c>
      <c r="O84" s="123" t="s">
        <v>137</v>
      </c>
      <c r="P84" t="s">
        <v>125</v>
      </c>
    </row>
    <row r="85" spans="2:19" x14ac:dyDescent="0.25">
      <c r="E85" t="s">
        <v>291</v>
      </c>
      <c r="F85" s="29">
        <f>+K44</f>
        <v>0</v>
      </c>
      <c r="M85" t="s">
        <v>291</v>
      </c>
      <c r="N85" s="29">
        <f>+R44</f>
        <v>0</v>
      </c>
      <c r="O85" s="29">
        <f>+S44</f>
        <v>0</v>
      </c>
      <c r="P85" s="29">
        <f t="shared" ref="P85:P90" si="1">+IF((F85-N85-O85)&lt;0,0,F85-N85-O85)</f>
        <v>0</v>
      </c>
    </row>
    <row r="86" spans="2:19" x14ac:dyDescent="0.25">
      <c r="E86" t="s">
        <v>290</v>
      </c>
      <c r="F86" s="29">
        <f>+G78</f>
        <v>0</v>
      </c>
      <c r="M86" t="s">
        <v>290</v>
      </c>
      <c r="N86" s="29">
        <f>+R78</f>
        <v>0</v>
      </c>
      <c r="O86" s="29">
        <f>+S78</f>
        <v>0</v>
      </c>
      <c r="P86" s="29">
        <f t="shared" si="1"/>
        <v>0</v>
      </c>
    </row>
    <row r="87" spans="2:19" x14ac:dyDescent="0.25">
      <c r="E87" t="s">
        <v>292</v>
      </c>
      <c r="F87" s="29">
        <f>+SUM(F50,F53,F54)</f>
        <v>0</v>
      </c>
      <c r="G87" s="29"/>
      <c r="H87" s="29"/>
      <c r="M87" t="s">
        <v>292</v>
      </c>
      <c r="N87" s="29">
        <f>+R54</f>
        <v>0</v>
      </c>
      <c r="O87" s="29">
        <f>+S54</f>
        <v>0</v>
      </c>
      <c r="P87" s="29">
        <f t="shared" si="1"/>
        <v>0</v>
      </c>
    </row>
    <row r="88" spans="2:19" x14ac:dyDescent="0.25">
      <c r="E88" t="s">
        <v>293</v>
      </c>
      <c r="F88" s="29">
        <f>+SUM(F68:K68)</f>
        <v>0</v>
      </c>
      <c r="M88" t="s">
        <v>293</v>
      </c>
      <c r="N88" s="29">
        <f>+R65</f>
        <v>0</v>
      </c>
      <c r="O88" s="29">
        <f>+S65</f>
        <v>0</v>
      </c>
      <c r="P88" s="29">
        <f t="shared" si="1"/>
        <v>0</v>
      </c>
    </row>
    <row r="89" spans="2:19" x14ac:dyDescent="0.25">
      <c r="E89" t="s">
        <v>208</v>
      </c>
      <c r="F89" s="29">
        <f>+IF('Datos Recicladores'!J254="",'Datos Recicladores'!L254,'Datos Recicladores'!J254)*SUM(F85:F88)</f>
        <v>0</v>
      </c>
      <c r="M89" t="s">
        <v>208</v>
      </c>
      <c r="N89" s="29">
        <f>+IF(C38=TRUE,F89,0)</f>
        <v>0</v>
      </c>
      <c r="O89" s="29">
        <f>+IF(C39=TRUE,F89,0)</f>
        <v>0</v>
      </c>
      <c r="P89" s="29">
        <f t="shared" si="1"/>
        <v>0</v>
      </c>
    </row>
    <row r="90" spans="2:19" x14ac:dyDescent="0.25">
      <c r="E90" t="s">
        <v>294</v>
      </c>
      <c r="F90" s="29">
        <f>+SUM(F86:F89)*$C$34</f>
        <v>0</v>
      </c>
      <c r="M90" t="s">
        <v>294</v>
      </c>
      <c r="N90" s="29">
        <f>+SUM(N86:N89)*$C$34</f>
        <v>0</v>
      </c>
      <c r="O90" s="29">
        <f>+SUM(O86:O89)*$C$34</f>
        <v>0</v>
      </c>
      <c r="P90" s="29">
        <f t="shared" si="1"/>
        <v>0</v>
      </c>
    </row>
    <row r="91" spans="2:19" x14ac:dyDescent="0.25">
      <c r="E91" s="10" t="s">
        <v>295</v>
      </c>
      <c r="F91" s="32">
        <f>+SUM(F85:F90)</f>
        <v>0</v>
      </c>
      <c r="M91" t="s">
        <v>9</v>
      </c>
      <c r="N91" s="29">
        <f>+SUM(N85:N90)</f>
        <v>0</v>
      </c>
      <c r="O91" s="29">
        <f>+SUM(O85:O90)</f>
        <v>0</v>
      </c>
      <c r="P91" s="29">
        <f>+SUM(P85:P90)</f>
        <v>0</v>
      </c>
    </row>
    <row r="94" spans="2:19" ht="57.75" customHeight="1" x14ac:dyDescent="0.25">
      <c r="B94" s="1207" t="s">
        <v>300</v>
      </c>
      <c r="C94" s="1208"/>
      <c r="D94" s="1208"/>
      <c r="E94" s="1208"/>
      <c r="F94" s="1208"/>
      <c r="G94" s="1208"/>
      <c r="H94" s="1208"/>
      <c r="I94" s="1208"/>
      <c r="J94" s="1208"/>
      <c r="K94" s="1208"/>
      <c r="L94" s="1208"/>
      <c r="M94" s="1208"/>
      <c r="N94" s="1208"/>
      <c r="O94" s="1208"/>
      <c r="P94" s="1208"/>
      <c r="Q94" s="1208"/>
      <c r="R94" s="1208"/>
      <c r="S94" s="1208"/>
    </row>
    <row r="96" spans="2:19" x14ac:dyDescent="0.25">
      <c r="C96" t="b">
        <f>+Tamaño</f>
        <v>0</v>
      </c>
    </row>
    <row r="97" spans="2:19" x14ac:dyDescent="0.25">
      <c r="B97" s="27" t="s">
        <v>121</v>
      </c>
      <c r="C97" s="27" t="b">
        <f>+Cantidad</f>
        <v>1</v>
      </c>
      <c r="E97" s="1193" t="s">
        <v>291</v>
      </c>
      <c r="F97" s="1193"/>
      <c r="G97" s="1193"/>
      <c r="H97" s="1193"/>
      <c r="I97" s="1193"/>
      <c r="J97" s="1193"/>
      <c r="K97" s="1193"/>
      <c r="L97" s="1193"/>
      <c r="M97" s="1193"/>
      <c r="N97" s="1193"/>
      <c r="O97" s="1193"/>
      <c r="P97" s="1193"/>
      <c r="Q97" s="1193"/>
      <c r="R97" s="1193"/>
      <c r="S97" s="1193"/>
    </row>
    <row r="98" spans="2:19" ht="15.75" x14ac:dyDescent="0.25">
      <c r="B98" s="27"/>
      <c r="C98" s="27"/>
      <c r="E98" s="162" t="s">
        <v>480</v>
      </c>
    </row>
    <row r="99" spans="2:19" x14ac:dyDescent="0.25">
      <c r="B99" s="27" t="s">
        <v>302</v>
      </c>
      <c r="C99" s="27" t="b">
        <v>0</v>
      </c>
      <c r="E99" s="10" t="s">
        <v>314</v>
      </c>
      <c r="F99" s="10" t="str">
        <f>+C120</f>
        <v>Cantidad pequeño</v>
      </c>
      <c r="G99" s="10" t="str">
        <f>+C121</f>
        <v>Selecccione unitario pequeño</v>
      </c>
      <c r="H99" s="10" t="s">
        <v>268</v>
      </c>
      <c r="I99" s="1206" t="s">
        <v>360</v>
      </c>
      <c r="J99" s="1206"/>
      <c r="K99" s="1206"/>
      <c r="M99" t="s">
        <v>471</v>
      </c>
      <c r="N99" t="s">
        <v>424</v>
      </c>
      <c r="O99" t="s">
        <v>137</v>
      </c>
      <c r="Q99" s="10" t="s">
        <v>125</v>
      </c>
      <c r="R99" s="10" t="s">
        <v>424</v>
      </c>
      <c r="S99" s="10" t="s">
        <v>137</v>
      </c>
    </row>
    <row r="100" spans="2:19" x14ac:dyDescent="0.25">
      <c r="B100" s="27" t="s">
        <v>303</v>
      </c>
      <c r="C100" s="27" t="b">
        <v>1</v>
      </c>
      <c r="E100" s="60" t="s">
        <v>315</v>
      </c>
      <c r="F100" s="60">
        <f>+IF('Datos Recicladores'!G194="",'Datos Recicladores'!J194,'Datos Recicladores'!G194)*C114</f>
        <v>0</v>
      </c>
      <c r="G100" s="60">
        <f>+IF('Datos Recicladores'!H194="",'Datos Recicladores'!M194,'Datos Recicladores'!H194)</f>
        <v>0</v>
      </c>
      <c r="H100" s="60">
        <f>+G100*F100</f>
        <v>0</v>
      </c>
      <c r="I100" s="1190">
        <f>+IF(F100&gt;0,PMT($C$34,IF('Datos Recicladores'!$O$146="",'Datos Recicladores'!$P$146,'Datos Recicladores'!$O$146)*12,-'C.Recicladores'!H100),0)</f>
        <v>0</v>
      </c>
      <c r="J100" s="1190"/>
      <c r="K100" s="1190"/>
      <c r="M100" t="b">
        <v>1</v>
      </c>
      <c r="N100" t="b">
        <v>0</v>
      </c>
      <c r="O100" t="b">
        <v>0</v>
      </c>
      <c r="Q100" s="2">
        <f>+IF(M100=TRUE,$I100,0)</f>
        <v>0</v>
      </c>
      <c r="R100" s="2">
        <f>+IF(N100=TRUE,$I100,0)</f>
        <v>0</v>
      </c>
      <c r="S100" s="2">
        <f>+IF(O100=TRUE,$I100,0)</f>
        <v>0</v>
      </c>
    </row>
    <row r="101" spans="2:19" x14ac:dyDescent="0.25">
      <c r="B101" s="27"/>
      <c r="C101" s="27"/>
      <c r="E101" s="61" t="s">
        <v>168</v>
      </c>
      <c r="F101" s="61">
        <f>+IF('Datos Recicladores'!G195="",'Datos Recicladores'!J195,'Datos Recicladores'!G195)*C114</f>
        <v>0</v>
      </c>
      <c r="G101" s="61">
        <f>+IF('Datos Recicladores'!H195="",'Datos Recicladores'!M195,'Datos Recicladores'!H195)</f>
        <v>0</v>
      </c>
      <c r="H101" s="61">
        <f t="shared" ref="H101:H125" si="2">+G101*F101</f>
        <v>0</v>
      </c>
      <c r="I101" s="1199">
        <f>+IF(F101&gt;0,PMT($C$34,IF('Datos Recicladores'!$O$146="",'Datos Recicladores'!$P$146,'Datos Recicladores'!$O$146)*12,-'C.Recicladores'!H101),0)</f>
        <v>0</v>
      </c>
      <c r="J101" s="1199"/>
      <c r="K101" s="1199"/>
      <c r="N101" s="27"/>
      <c r="O101" s="27"/>
      <c r="P101" s="27"/>
      <c r="Q101" s="28"/>
      <c r="R101" s="27"/>
      <c r="S101" s="27"/>
    </row>
    <row r="102" spans="2:19" x14ac:dyDescent="0.25">
      <c r="E102" s="60" t="s">
        <v>316</v>
      </c>
      <c r="F102" s="60">
        <f>+IF('Datos Recicladores'!G196="",'Datos Recicladores'!J196,'Datos Recicladores'!G196)*C114</f>
        <v>0</v>
      </c>
      <c r="G102" s="60">
        <f>+IF('Datos Recicladores'!H196="",'Datos Recicladores'!M196,'Datos Recicladores'!H196)</f>
        <v>0</v>
      </c>
      <c r="H102" s="60">
        <f t="shared" si="2"/>
        <v>0</v>
      </c>
      <c r="I102" s="1190">
        <f>+IF(F102&gt;0,PMT($C$34,IF('Datos Recicladores'!$O$146="",'Datos Recicladores'!$P$146,'Datos Recicladores'!$O$146)*12,-'C.Recicladores'!H102),0)</f>
        <v>0</v>
      </c>
      <c r="J102" s="1190"/>
      <c r="K102" s="1190"/>
      <c r="M102" t="b">
        <v>1</v>
      </c>
      <c r="N102" t="b">
        <v>0</v>
      </c>
      <c r="O102" t="b">
        <v>0</v>
      </c>
      <c r="Q102" s="2">
        <f>+IF(M102=TRUE,$I102,0)</f>
        <v>0</v>
      </c>
      <c r="R102" s="2">
        <f>+IF(N102=TRUE,$I102,0)</f>
        <v>0</v>
      </c>
      <c r="S102" s="2">
        <f>+IF(O102=TRUE,$I102,0)</f>
        <v>0</v>
      </c>
    </row>
    <row r="103" spans="2:19" x14ac:dyDescent="0.25">
      <c r="B103" s="27" t="s">
        <v>156</v>
      </c>
      <c r="C103" s="27"/>
      <c r="E103" s="61" t="s">
        <v>171</v>
      </c>
      <c r="F103" s="61">
        <f>+IF('Datos Recicladores'!G197="",'Datos Recicladores'!J197,'Datos Recicladores'!G197)*C114</f>
        <v>0</v>
      </c>
      <c r="G103" s="61">
        <f>+IF('Datos Recicladores'!H197="",'Datos Recicladores'!M197,'Datos Recicladores'!H197)</f>
        <v>0</v>
      </c>
      <c r="H103" s="61">
        <f t="shared" si="2"/>
        <v>0</v>
      </c>
      <c r="I103" s="1199">
        <f>+IF(F103&gt;0,PMT($C$34,IF('Datos Recicladores'!$O$146="",'Datos Recicladores'!$P$146,'Datos Recicladores'!$O$146)*12,-'C.Recicladores'!H103),0)</f>
        <v>0</v>
      </c>
      <c r="J103" s="1199"/>
      <c r="K103" s="1199"/>
      <c r="M103" t="b">
        <v>1</v>
      </c>
      <c r="N103" t="b">
        <v>0</v>
      </c>
      <c r="O103" t="b">
        <v>0</v>
      </c>
      <c r="Q103" s="2">
        <f t="shared" ref="Q103:Q126" si="3">+IF(M103=TRUE,$I103,0)</f>
        <v>0</v>
      </c>
      <c r="R103" s="2">
        <f>+IF(N103=TRUE,$I103,0)</f>
        <v>0</v>
      </c>
      <c r="S103" s="2">
        <f>+IF(O103=TRUE,$I103,0)</f>
        <v>0</v>
      </c>
    </row>
    <row r="104" spans="2:19" x14ac:dyDescent="0.25">
      <c r="B104" s="27" t="s">
        <v>157</v>
      </c>
      <c r="C104" s="27" t="b">
        <v>1</v>
      </c>
      <c r="E104" s="60" t="s">
        <v>317</v>
      </c>
      <c r="F104" s="60">
        <f>+IF('Datos Recicladores'!G198="",'Datos Recicladores'!J198,'Datos Recicladores'!G198)*C114</f>
        <v>0</v>
      </c>
      <c r="G104" s="60">
        <f>+IF('Datos Recicladores'!H198="",'Datos Recicladores'!M198,'Datos Recicladores'!H198)</f>
        <v>0</v>
      </c>
      <c r="H104" s="60">
        <f t="shared" si="2"/>
        <v>0</v>
      </c>
      <c r="I104" s="1190">
        <f>+IF(F104&gt;0,PMT($C$34,IF('Datos Recicladores'!$O$146="",'Datos Recicladores'!$P$146,'Datos Recicladores'!$O$146)*12,-'C.Recicladores'!H104),0)</f>
        <v>0</v>
      </c>
      <c r="J104" s="1190"/>
      <c r="K104" s="1190"/>
      <c r="N104" s="27"/>
      <c r="O104" s="27"/>
      <c r="P104" s="27"/>
      <c r="Q104" s="28"/>
      <c r="R104" s="27"/>
      <c r="S104" s="27"/>
    </row>
    <row r="105" spans="2:19" x14ac:dyDescent="0.25">
      <c r="B105" s="27" t="s">
        <v>158</v>
      </c>
      <c r="C105" s="27" t="b">
        <v>0</v>
      </c>
      <c r="E105" s="61" t="s">
        <v>173</v>
      </c>
      <c r="F105" s="61">
        <f>+IF('Datos Recicladores'!G199="",'Datos Recicladores'!J199,'Datos Recicladores'!G199)*C114</f>
        <v>0</v>
      </c>
      <c r="G105" s="61">
        <f>+IF('Datos Recicladores'!H199="",'Datos Recicladores'!M199,'Datos Recicladores'!H199)</f>
        <v>0</v>
      </c>
      <c r="H105" s="61">
        <f t="shared" si="2"/>
        <v>0</v>
      </c>
      <c r="I105" s="1199">
        <f>+IF(F105&gt;0,PMT($C$34,IF('Datos Recicladores'!$O$146="",'Datos Recicladores'!$P$146,'Datos Recicladores'!$O$146)*12,-'C.Recicladores'!H105),0)</f>
        <v>0</v>
      </c>
      <c r="J105" s="1199"/>
      <c r="K105" s="1199"/>
      <c r="M105" t="b">
        <v>1</v>
      </c>
      <c r="N105" t="b">
        <v>0</v>
      </c>
      <c r="O105" t="b">
        <v>0</v>
      </c>
      <c r="Q105" s="2">
        <f t="shared" si="3"/>
        <v>0</v>
      </c>
      <c r="R105" s="2">
        <f t="shared" ref="R105:R126" si="4">+IF(N105=TRUE,$I105,0)</f>
        <v>0</v>
      </c>
      <c r="S105" s="2">
        <f t="shared" ref="S105:S126" si="5">+IF(O105=TRUE,$I105,0)</f>
        <v>0</v>
      </c>
    </row>
    <row r="106" spans="2:19" x14ac:dyDescent="0.25">
      <c r="B106" s="27"/>
      <c r="C106" s="27"/>
      <c r="E106" s="60" t="s">
        <v>175</v>
      </c>
      <c r="F106" s="60">
        <f>+IF('Datos Recicladores'!G200="",'Datos Recicladores'!J200,'Datos Recicladores'!G200)*C114</f>
        <v>0</v>
      </c>
      <c r="G106" s="60">
        <f>+IF('Datos Recicladores'!H200="",'Datos Recicladores'!M200,'Datos Recicladores'!H200)</f>
        <v>0</v>
      </c>
      <c r="H106" s="60">
        <f t="shared" si="2"/>
        <v>0</v>
      </c>
      <c r="I106" s="1190">
        <f>+IF(F106&gt;0,PMT($C$34,IF('Datos Recicladores'!$O$146="",'Datos Recicladores'!$P$146,'Datos Recicladores'!$O$146)*12,-'C.Recicladores'!H106),0)</f>
        <v>0</v>
      </c>
      <c r="J106" s="1190"/>
      <c r="K106" s="1190"/>
      <c r="M106" t="b">
        <v>1</v>
      </c>
      <c r="N106" t="b">
        <v>0</v>
      </c>
      <c r="O106" t="b">
        <v>0</v>
      </c>
      <c r="Q106" s="2">
        <f t="shared" si="3"/>
        <v>0</v>
      </c>
      <c r="R106" s="2">
        <f t="shared" si="4"/>
        <v>0</v>
      </c>
      <c r="S106" s="2">
        <f t="shared" si="5"/>
        <v>0</v>
      </c>
    </row>
    <row r="107" spans="2:19" x14ac:dyDescent="0.25">
      <c r="E107" s="61" t="s">
        <v>176</v>
      </c>
      <c r="F107" s="61">
        <f>+IF('Datos Recicladores'!G201="",'Datos Recicladores'!J201,'Datos Recicladores'!G201)*C114</f>
        <v>0</v>
      </c>
      <c r="G107" s="61">
        <f>+IF('Datos Recicladores'!H201="",'Datos Recicladores'!M201,'Datos Recicladores'!H201)</f>
        <v>0</v>
      </c>
      <c r="H107" s="61">
        <f t="shared" si="2"/>
        <v>0</v>
      </c>
      <c r="I107" s="1199">
        <f>+IF(F107&gt;0,PMT($C$34,IF('Datos Recicladores'!$O$146="",'Datos Recicladores'!$P$146,'Datos Recicladores'!$O$146)*12,-'C.Recicladores'!H107),0)</f>
        <v>0</v>
      </c>
      <c r="J107" s="1199"/>
      <c r="K107" s="1199"/>
      <c r="M107" t="b">
        <v>1</v>
      </c>
      <c r="N107" t="b">
        <v>0</v>
      </c>
      <c r="O107" t="b">
        <v>0</v>
      </c>
      <c r="Q107" s="2">
        <f t="shared" si="3"/>
        <v>0</v>
      </c>
      <c r="R107" s="2">
        <f t="shared" si="4"/>
        <v>0</v>
      </c>
      <c r="S107" s="2">
        <f t="shared" si="5"/>
        <v>0</v>
      </c>
    </row>
    <row r="108" spans="2:19" x14ac:dyDescent="0.25">
      <c r="E108" s="60" t="s">
        <v>177</v>
      </c>
      <c r="F108" s="60">
        <f>+IF('Datos Recicladores'!G202="",'Datos Recicladores'!J202,'Datos Recicladores'!G202)*C114</f>
        <v>0</v>
      </c>
      <c r="G108" s="60">
        <f>+IF('Datos Recicladores'!H202="",'Datos Recicladores'!M202,'Datos Recicladores'!H202)</f>
        <v>0</v>
      </c>
      <c r="H108" s="60">
        <f t="shared" si="2"/>
        <v>0</v>
      </c>
      <c r="I108" s="1190">
        <f>+IF(F108&gt;0,PMT($C$34,IF('Datos Recicladores'!$O$146="",'Datos Recicladores'!$P$146,'Datos Recicladores'!$O$146)*12,-'C.Recicladores'!H108),0)</f>
        <v>0</v>
      </c>
      <c r="J108" s="1190"/>
      <c r="K108" s="1190"/>
      <c r="M108" t="b">
        <v>1</v>
      </c>
      <c r="N108" t="b">
        <v>0</v>
      </c>
      <c r="O108" t="b">
        <v>0</v>
      </c>
      <c r="Q108" s="2">
        <f t="shared" si="3"/>
        <v>0</v>
      </c>
      <c r="R108" s="2">
        <f t="shared" si="4"/>
        <v>0</v>
      </c>
      <c r="S108" s="2">
        <f t="shared" si="5"/>
        <v>0</v>
      </c>
    </row>
    <row r="109" spans="2:19" x14ac:dyDescent="0.25">
      <c r="B109" s="27" t="str">
        <f>B19</f>
        <v>TON/AÑO</v>
      </c>
      <c r="C109" s="28">
        <f>C19</f>
        <v>0</v>
      </c>
      <c r="E109" s="61" t="s">
        <v>178</v>
      </c>
      <c r="F109" s="61">
        <f>+IF('Datos Recicladores'!G203="",'Datos Recicladores'!J203,'Datos Recicladores'!G203)*C114</f>
        <v>0</v>
      </c>
      <c r="G109" s="61">
        <f>+IF('Datos Recicladores'!H203="",'Datos Recicladores'!M203,'Datos Recicladores'!H203)</f>
        <v>0</v>
      </c>
      <c r="H109" s="61">
        <f t="shared" si="2"/>
        <v>0</v>
      </c>
      <c r="I109" s="1199">
        <f>+IF(F109&gt;0,PMT($C$34,IF('Datos Recicladores'!$O$146="",'Datos Recicladores'!$P$146,'Datos Recicladores'!$O$146)*12,-'C.Recicladores'!H109),0)</f>
        <v>0</v>
      </c>
      <c r="J109" s="1199"/>
      <c r="K109" s="1199"/>
      <c r="M109" t="b">
        <v>1</v>
      </c>
      <c r="N109" t="b">
        <v>0</v>
      </c>
      <c r="O109" t="b">
        <v>0</v>
      </c>
      <c r="Q109" s="2">
        <f t="shared" si="3"/>
        <v>0</v>
      </c>
      <c r="R109" s="2">
        <f t="shared" si="4"/>
        <v>0</v>
      </c>
      <c r="S109" s="2">
        <f t="shared" si="5"/>
        <v>0</v>
      </c>
    </row>
    <row r="110" spans="2:19" x14ac:dyDescent="0.25">
      <c r="B110" s="27" t="str">
        <f>B20</f>
        <v>TON/MES</v>
      </c>
      <c r="C110" s="28">
        <f>C20</f>
        <v>0</v>
      </c>
      <c r="E110" s="60" t="s">
        <v>179</v>
      </c>
      <c r="F110" s="60">
        <f>+IF('Datos Recicladores'!G204="",'Datos Recicladores'!J204,'Datos Recicladores'!G204)*C114</f>
        <v>0</v>
      </c>
      <c r="G110" s="60">
        <f>+IF('Datos Recicladores'!H204="",'Datos Recicladores'!M204,'Datos Recicladores'!H204)</f>
        <v>0</v>
      </c>
      <c r="H110" s="60">
        <f t="shared" si="2"/>
        <v>0</v>
      </c>
      <c r="I110" s="1190">
        <f>+IF(F110&gt;0,PMT($C$34,IF('Datos Recicladores'!$O$146="",'Datos Recicladores'!$P$146,'Datos Recicladores'!$O$146)*12,-'C.Recicladores'!H110),0)</f>
        <v>0</v>
      </c>
      <c r="J110" s="1190"/>
      <c r="K110" s="1190"/>
      <c r="M110" t="b">
        <v>1</v>
      </c>
      <c r="N110" t="b">
        <v>0</v>
      </c>
      <c r="O110" t="b">
        <v>0</v>
      </c>
      <c r="Q110" s="2">
        <f t="shared" si="3"/>
        <v>0</v>
      </c>
      <c r="R110" s="2">
        <f t="shared" si="4"/>
        <v>0</v>
      </c>
      <c r="S110" s="2">
        <f t="shared" si="5"/>
        <v>0</v>
      </c>
    </row>
    <row r="111" spans="2:19" x14ac:dyDescent="0.25">
      <c r="B111" s="27" t="s">
        <v>342</v>
      </c>
      <c r="C111" s="28">
        <f>+tonmes/(IF('Datos Recicladores'!O158="",'Datos Recicladores'!P158,'Datos Recicladores'!O158)*IF('Datos Recicladores'!O159="",'Datos Recicladores'!P159,'Datos Recicladores'!O159)*IF('Datos Recicladores'!O160="",'Datos Recicladores'!P160,'Datos Recicladores'!O160))</f>
        <v>0</v>
      </c>
      <c r="E111" s="61" t="s">
        <v>318</v>
      </c>
      <c r="F111" s="61">
        <f>+IF('Datos Recicladores'!G205="",'Datos Recicladores'!J205,'Datos Recicladores'!G205)*C114</f>
        <v>0</v>
      </c>
      <c r="G111" s="61">
        <f>+IF('Datos Recicladores'!H205="",'Datos Recicladores'!M205,'Datos Recicladores'!H205)</f>
        <v>0</v>
      </c>
      <c r="H111" s="61">
        <f t="shared" si="2"/>
        <v>0</v>
      </c>
      <c r="I111" s="1199">
        <f>+IF(F111&gt;0,PMT($C$34,IF('Datos Recicladores'!$O$146="",'Datos Recicladores'!$P$146,'Datos Recicladores'!$O$146)*12,-'C.Recicladores'!H111),0)</f>
        <v>0</v>
      </c>
      <c r="J111" s="1199"/>
      <c r="K111" s="1199"/>
      <c r="M111" t="b">
        <v>1</v>
      </c>
      <c r="N111" t="b">
        <v>0</v>
      </c>
      <c r="O111" t="b">
        <v>0</v>
      </c>
      <c r="Q111" s="2">
        <f t="shared" si="3"/>
        <v>0</v>
      </c>
      <c r="R111" s="2">
        <f t="shared" si="4"/>
        <v>0</v>
      </c>
      <c r="S111" s="2">
        <f t="shared" si="5"/>
        <v>0</v>
      </c>
    </row>
    <row r="112" spans="2:19" x14ac:dyDescent="0.25">
      <c r="E112" s="60" t="s">
        <v>319</v>
      </c>
      <c r="F112" s="60">
        <f>+IF('Datos Recicladores'!G206="",'Datos Recicladores'!J206,'Datos Recicladores'!G206)*C114</f>
        <v>0</v>
      </c>
      <c r="G112" s="60">
        <f>+IF('Datos Recicladores'!H206="",'Datos Recicladores'!M206,'Datos Recicladores'!H206)</f>
        <v>0</v>
      </c>
      <c r="H112" s="60">
        <f t="shared" si="2"/>
        <v>0</v>
      </c>
      <c r="I112" s="1190">
        <f>+IF(F112&gt;0,PMT($C$34,IF('Datos Recicladores'!$O$146="",'Datos Recicladores'!$P$146,'Datos Recicladores'!$O$146)*12,-'C.Recicladores'!H112),0)</f>
        <v>0</v>
      </c>
      <c r="J112" s="1190"/>
      <c r="K112" s="1190"/>
      <c r="M112" t="b">
        <v>1</v>
      </c>
      <c r="N112" t="b">
        <v>0</v>
      </c>
      <c r="O112" t="b">
        <v>0</v>
      </c>
      <c r="Q112" s="2">
        <f t="shared" si="3"/>
        <v>0</v>
      </c>
      <c r="R112" s="2">
        <f t="shared" si="4"/>
        <v>0</v>
      </c>
      <c r="S112" s="2">
        <f t="shared" si="5"/>
        <v>0</v>
      </c>
    </row>
    <row r="113" spans="2:19" x14ac:dyDescent="0.25">
      <c r="B113" s="27" t="s">
        <v>677</v>
      </c>
      <c r="C113" s="28">
        <f>+IF(Tamaño=TRUE,'Datos Recicladores'!I148,'Datos Recicladores'!G149)</f>
        <v>0</v>
      </c>
      <c r="E113" s="61" t="s">
        <v>183</v>
      </c>
      <c r="F113" s="61">
        <f>+IF('Datos Recicladores'!G207="",'Datos Recicladores'!J207,'Datos Recicladores'!G207)*C114</f>
        <v>0</v>
      </c>
      <c r="G113" s="61">
        <f>+IF('Datos Recicladores'!H207="",'Datos Recicladores'!M207,'Datos Recicladores'!H207)</f>
        <v>0</v>
      </c>
      <c r="H113" s="61">
        <f t="shared" si="2"/>
        <v>0</v>
      </c>
      <c r="I113" s="1199">
        <f>+IF(F113&gt;0,PMT($C$34,IF('Datos Recicladores'!$O$146="",'Datos Recicladores'!$P$146,'Datos Recicladores'!$O$146)*12,-'C.Recicladores'!H113),0)</f>
        <v>0</v>
      </c>
      <c r="J113" s="1199"/>
      <c r="K113" s="1199"/>
      <c r="M113" t="b">
        <v>1</v>
      </c>
      <c r="N113" t="b">
        <v>0</v>
      </c>
      <c r="O113" t="b">
        <v>0</v>
      </c>
      <c r="Q113" s="2">
        <f t="shared" si="3"/>
        <v>0</v>
      </c>
      <c r="R113" s="2">
        <f t="shared" si="4"/>
        <v>0</v>
      </c>
      <c r="S113" s="2">
        <f t="shared" si="5"/>
        <v>0</v>
      </c>
    </row>
    <row r="114" spans="2:19" x14ac:dyDescent="0.25">
      <c r="B114" s="27" t="s">
        <v>353</v>
      </c>
      <c r="C114" s="28">
        <f>+IF(C99=FALSE,'Datos Recicladores'!G148,'Datos Recicladores'!I149)</f>
        <v>0</v>
      </c>
      <c r="E114" s="60" t="s">
        <v>184</v>
      </c>
      <c r="F114" s="60">
        <f>+IF('Datos Recicladores'!G208="",'Datos Recicladores'!J208,'Datos Recicladores'!G208)*C114</f>
        <v>0</v>
      </c>
      <c r="G114" s="60">
        <f>+IF('Datos Recicladores'!H208="",'Datos Recicladores'!M208,'Datos Recicladores'!H208)</f>
        <v>0</v>
      </c>
      <c r="H114" s="60">
        <f t="shared" si="2"/>
        <v>0</v>
      </c>
      <c r="I114" s="1190">
        <f>+IF(F114&gt;0,PMT($C$34,IF('Datos Recicladores'!$O$146="",'Datos Recicladores'!$P$146,'Datos Recicladores'!$O$146)*12,-'C.Recicladores'!H114),0)</f>
        <v>0</v>
      </c>
      <c r="J114" s="1190"/>
      <c r="K114" s="1190"/>
      <c r="M114" t="b">
        <v>1</v>
      </c>
      <c r="N114" t="b">
        <v>0</v>
      </c>
      <c r="O114" t="b">
        <v>0</v>
      </c>
      <c r="Q114" s="2">
        <f t="shared" si="3"/>
        <v>0</v>
      </c>
      <c r="R114" s="2">
        <f t="shared" si="4"/>
        <v>0</v>
      </c>
      <c r="S114" s="2">
        <f t="shared" si="5"/>
        <v>0</v>
      </c>
    </row>
    <row r="115" spans="2:19" x14ac:dyDescent="0.25">
      <c r="B115" s="27" t="s">
        <v>301</v>
      </c>
      <c r="C115" s="28">
        <f>+IF(Tamaño=TRUE,'Datos Recicladores'!I150,'Datos Recicladores'!G150)</f>
        <v>0</v>
      </c>
      <c r="E115" s="61" t="s">
        <v>185</v>
      </c>
      <c r="F115" s="61">
        <f>+IF('Datos Recicladores'!G209="",'Datos Recicladores'!J209,'Datos Recicladores'!G209)*C114</f>
        <v>0</v>
      </c>
      <c r="G115" s="61">
        <f>+IF('Datos Recicladores'!H209="",'Datos Recicladores'!M209,'Datos Recicladores'!H209)</f>
        <v>0</v>
      </c>
      <c r="H115" s="61">
        <f t="shared" si="2"/>
        <v>0</v>
      </c>
      <c r="I115" s="1199">
        <f>+IF(F115&gt;0,PMT($C$34,IF('Datos Recicladores'!$O$146="",'Datos Recicladores'!$P$146,'Datos Recicladores'!$O$146)*12,-'C.Recicladores'!H115),0)</f>
        <v>0</v>
      </c>
      <c r="J115" s="1199"/>
      <c r="K115" s="1199"/>
      <c r="M115" t="b">
        <v>1</v>
      </c>
      <c r="N115" t="b">
        <v>0</v>
      </c>
      <c r="O115" t="b">
        <v>0</v>
      </c>
      <c r="Q115" s="2">
        <f t="shared" si="3"/>
        <v>0</v>
      </c>
      <c r="R115" s="2">
        <f t="shared" si="4"/>
        <v>0</v>
      </c>
      <c r="S115" s="2">
        <f t="shared" si="5"/>
        <v>0</v>
      </c>
    </row>
    <row r="116" spans="2:19" x14ac:dyDescent="0.25">
      <c r="B116" s="27" t="s">
        <v>148</v>
      </c>
      <c r="C116" s="28">
        <f>+C115-C109</f>
        <v>0</v>
      </c>
      <c r="E116" s="60" t="s">
        <v>186</v>
      </c>
      <c r="F116" s="60">
        <f>+IF('Datos Recicladores'!G210="",'Datos Recicladores'!J210,'Datos Recicladores'!G210)*C114</f>
        <v>0</v>
      </c>
      <c r="G116" s="60">
        <f>+IF('Datos Recicladores'!H210="",'Datos Recicladores'!M210,'Datos Recicladores'!H210)</f>
        <v>0</v>
      </c>
      <c r="H116" s="60">
        <f t="shared" si="2"/>
        <v>0</v>
      </c>
      <c r="I116" s="1190">
        <f>+IF(F116&gt;0,PMT($C$34,IF('Datos Recicladores'!$O$146="",'Datos Recicladores'!$P$146,'Datos Recicladores'!$O$146)*12,-'C.Recicladores'!H116),0)</f>
        <v>0</v>
      </c>
      <c r="J116" s="1190"/>
      <c r="K116" s="1190"/>
      <c r="M116" t="b">
        <v>1</v>
      </c>
      <c r="N116" t="b">
        <v>0</v>
      </c>
      <c r="O116" t="b">
        <v>0</v>
      </c>
      <c r="Q116" s="2">
        <f t="shared" si="3"/>
        <v>0</v>
      </c>
      <c r="R116" s="2">
        <f t="shared" si="4"/>
        <v>0</v>
      </c>
      <c r="S116" s="2">
        <f t="shared" si="5"/>
        <v>0</v>
      </c>
    </row>
    <row r="117" spans="2:19" x14ac:dyDescent="0.25">
      <c r="B117" s="27" t="s">
        <v>305</v>
      </c>
      <c r="C117" s="28" t="e">
        <f>+tonmes/C114</f>
        <v>#DIV/0!</v>
      </c>
      <c r="E117" s="61" t="s">
        <v>320</v>
      </c>
      <c r="F117" s="61">
        <f>+IF('Datos Recicladores'!G212="",'Datos Recicladores'!J212,'Datos Recicladores'!G212)*C114</f>
        <v>0</v>
      </c>
      <c r="G117" s="61">
        <f>+IF('Datos Recicladores'!H212="",'Datos Recicladores'!M212,'Datos Recicladores'!H212)</f>
        <v>0</v>
      </c>
      <c r="H117" s="61">
        <f t="shared" si="2"/>
        <v>0</v>
      </c>
      <c r="I117" s="1199">
        <f>+IF(F117&gt;0,PMT($C$34,IF('Datos Recicladores'!$O$146="",'Datos Recicladores'!$P$146,'Datos Recicladores'!$O$146)*12,-'C.Recicladores'!H117),0)</f>
        <v>0</v>
      </c>
      <c r="J117" s="1199"/>
      <c r="K117" s="1199"/>
      <c r="M117" t="b">
        <v>1</v>
      </c>
      <c r="N117" t="b">
        <v>0</v>
      </c>
      <c r="O117" t="b">
        <v>0</v>
      </c>
      <c r="Q117" s="2">
        <f t="shared" si="3"/>
        <v>0</v>
      </c>
      <c r="R117" s="2">
        <f t="shared" si="4"/>
        <v>0</v>
      </c>
      <c r="S117" s="2">
        <f t="shared" si="5"/>
        <v>0</v>
      </c>
    </row>
    <row r="118" spans="2:19" x14ac:dyDescent="0.25">
      <c r="B118" s="27" t="s">
        <v>352</v>
      </c>
      <c r="C118" s="28" t="e">
        <f>+C117/(IF('Datos Recicladores'!O158="",'Datos Recicladores'!P158,'Datos Recicladores'!O158)*IF('Datos Recicladores'!O159="",'Datos Recicladores'!P159,'Datos Recicladores'!O159)*IF('Datos Recicladores'!O160="",'Datos Recicladores'!P160,'Datos Recicladores'!O160))</f>
        <v>#DIV/0!</v>
      </c>
      <c r="E118" s="60" t="s">
        <v>321</v>
      </c>
      <c r="F118" s="60">
        <f>+IF('Datos Recicladores'!G213="",'Datos Recicladores'!J213,'Datos Recicladores'!G213)*C114</f>
        <v>0</v>
      </c>
      <c r="G118" s="60">
        <f>+IF('Datos Recicladores'!H213="",'Datos Recicladores'!M213,'Datos Recicladores'!H213)</f>
        <v>0</v>
      </c>
      <c r="H118" s="60">
        <f t="shared" si="2"/>
        <v>0</v>
      </c>
      <c r="I118" s="1190">
        <f>+IF(F118&gt;0,PMT($C$34,IF('Datos Recicladores'!$O$146="",'Datos Recicladores'!$P$146,'Datos Recicladores'!$O$146)*12,-'C.Recicladores'!H118),0)</f>
        <v>0</v>
      </c>
      <c r="J118" s="1190"/>
      <c r="K118" s="1190"/>
      <c r="M118" t="b">
        <v>1</v>
      </c>
      <c r="N118" t="b">
        <v>0</v>
      </c>
      <c r="O118" t="b">
        <v>0</v>
      </c>
      <c r="Q118" s="2">
        <f t="shared" si="3"/>
        <v>0</v>
      </c>
      <c r="R118" s="2">
        <f t="shared" si="4"/>
        <v>0</v>
      </c>
      <c r="S118" s="2">
        <f t="shared" si="5"/>
        <v>0</v>
      </c>
    </row>
    <row r="119" spans="2:19" x14ac:dyDescent="0.25">
      <c r="E119" s="61" t="s">
        <v>189</v>
      </c>
      <c r="F119" s="61">
        <f>+IF('Datos Recicladores'!G214="",'Datos Recicladores'!J214,'Datos Recicladores'!G214)*C114</f>
        <v>0</v>
      </c>
      <c r="G119" s="61">
        <f>+IF('Datos Recicladores'!H214="",'Datos Recicladores'!M214,'Datos Recicladores'!H214)</f>
        <v>0</v>
      </c>
      <c r="H119" s="61">
        <f t="shared" si="2"/>
        <v>0</v>
      </c>
      <c r="I119" s="1199">
        <f>+IF(F119&gt;0,PMT($C$34,IF('Datos Recicladores'!$O$146="",'Datos Recicladores'!$P$146,'Datos Recicladores'!$O$146)*12,-'C.Recicladores'!H119),0)</f>
        <v>0</v>
      </c>
      <c r="J119" s="1199"/>
      <c r="K119" s="1199"/>
      <c r="M119" t="b">
        <v>1</v>
      </c>
      <c r="N119" t="b">
        <v>0</v>
      </c>
      <c r="O119" t="b">
        <v>0</v>
      </c>
      <c r="Q119" s="2">
        <f t="shared" si="3"/>
        <v>0</v>
      </c>
      <c r="R119" s="2">
        <f t="shared" si="4"/>
        <v>0</v>
      </c>
      <c r="S119" s="2">
        <f t="shared" si="5"/>
        <v>0</v>
      </c>
    </row>
    <row r="120" spans="2:19" x14ac:dyDescent="0.25">
      <c r="B120" s="27" t="s">
        <v>86</v>
      </c>
      <c r="C120" s="27" t="str">
        <f>+CONCATENATE("Cantidad"," ",IF('C.Recicladores'!C113&lt;1560,"pequeño",IF('C.Recicladores'!C113&lt;15000,"mediano","grande")))</f>
        <v>Cantidad pequeño</v>
      </c>
      <c r="E120" s="60" t="s">
        <v>190</v>
      </c>
      <c r="F120" s="60">
        <f>+IF('Datos Recicladores'!G215="",'Datos Recicladores'!J215,'Datos Recicladores'!G215)*C114</f>
        <v>0</v>
      </c>
      <c r="G120" s="60">
        <f>+IF('Datos Recicladores'!H215="",'Datos Recicladores'!M215,'Datos Recicladores'!H215)</f>
        <v>0</v>
      </c>
      <c r="H120" s="60">
        <f t="shared" si="2"/>
        <v>0</v>
      </c>
      <c r="I120" s="1190">
        <f>+IF(F120&gt;0,PMT($C$34,IF('Datos Recicladores'!$O$146="",'Datos Recicladores'!$P$146,'Datos Recicladores'!$O$146)*12,-'C.Recicladores'!H120),0)</f>
        <v>0</v>
      </c>
      <c r="J120" s="1190"/>
      <c r="K120" s="1190"/>
      <c r="M120" t="b">
        <v>1</v>
      </c>
      <c r="N120" t="b">
        <v>0</v>
      </c>
      <c r="O120" t="b">
        <v>0</v>
      </c>
      <c r="Q120" s="2">
        <f t="shared" si="3"/>
        <v>0</v>
      </c>
      <c r="R120" s="2">
        <f t="shared" si="4"/>
        <v>0</v>
      </c>
      <c r="S120" s="2">
        <f t="shared" si="5"/>
        <v>0</v>
      </c>
    </row>
    <row r="121" spans="2:19" x14ac:dyDescent="0.25">
      <c r="B121" s="27"/>
      <c r="C121" s="27" t="str">
        <f>+CONCATENATE('Datos Generales'!K11," ","unitario"," ",IF('C.Recicladores'!C113&lt;1560,"pequeño",IF('C.Recicladores'!C113&lt;15000,"mediano","grande")))</f>
        <v>Selecccione unitario pequeño</v>
      </c>
      <c r="E121" s="61" t="s">
        <v>192</v>
      </c>
      <c r="F121" s="61">
        <f>+IF('Datos Recicladores'!G216="",'Datos Recicladores'!J216,'Datos Recicladores'!G216)*C114</f>
        <v>0</v>
      </c>
      <c r="G121" s="61">
        <f>+IF('Datos Recicladores'!H216="",'Datos Recicladores'!M216,'Datos Recicladores'!H216)</f>
        <v>0</v>
      </c>
      <c r="H121" s="61">
        <f t="shared" si="2"/>
        <v>0</v>
      </c>
      <c r="I121" s="1199">
        <f>+IF(F121&gt;0,PMT($C$34,IF('Datos Recicladores'!$O$146="",'Datos Recicladores'!$P$146,'Datos Recicladores'!$O$146)*12,-'C.Recicladores'!H121),0)</f>
        <v>0</v>
      </c>
      <c r="J121" s="1199"/>
      <c r="K121" s="1199"/>
      <c r="M121" t="b">
        <v>1</v>
      </c>
      <c r="N121" t="b">
        <v>0</v>
      </c>
      <c r="O121" t="b">
        <v>0</v>
      </c>
      <c r="Q121" s="2">
        <f t="shared" si="3"/>
        <v>0</v>
      </c>
      <c r="R121" s="2">
        <f t="shared" si="4"/>
        <v>0</v>
      </c>
      <c r="S121" s="2">
        <f t="shared" si="5"/>
        <v>0</v>
      </c>
    </row>
    <row r="122" spans="2:19" x14ac:dyDescent="0.25">
      <c r="B122" s="27"/>
      <c r="C122" s="27" t="str">
        <f>+CONCATENATE('Datos Generales'!K11," ","total"," ",IF('C.Recicladores'!C113&lt;1560,"pequeño",IF('C.Recicladores'!C113&lt;15000,"mediano","grande")))</f>
        <v>Selecccione total pequeño</v>
      </c>
      <c r="E122" s="60" t="s">
        <v>193</v>
      </c>
      <c r="F122" s="60">
        <f>+IF('Datos Recicladores'!G217="",'Datos Recicladores'!J217,'Datos Recicladores'!G217)*C114</f>
        <v>0</v>
      </c>
      <c r="G122" s="60">
        <f>+IF('Datos Recicladores'!H217="",'Datos Recicladores'!M217,'Datos Recicladores'!H217)</f>
        <v>0</v>
      </c>
      <c r="H122" s="60">
        <f t="shared" si="2"/>
        <v>0</v>
      </c>
      <c r="I122" s="1190">
        <f>+IF(F122&gt;0,PMT($C$34,IF('Datos Recicladores'!$O$146="",'Datos Recicladores'!$P$146,'Datos Recicladores'!$O$146)*12,-'C.Recicladores'!H122),0)</f>
        <v>0</v>
      </c>
      <c r="J122" s="1190"/>
      <c r="K122" s="1190"/>
      <c r="M122" t="b">
        <v>1</v>
      </c>
      <c r="N122" t="b">
        <v>0</v>
      </c>
      <c r="O122" t="b">
        <v>0</v>
      </c>
      <c r="Q122" s="2">
        <f t="shared" si="3"/>
        <v>0</v>
      </c>
      <c r="R122" s="2">
        <f t="shared" si="4"/>
        <v>0</v>
      </c>
      <c r="S122" s="2">
        <f t="shared" si="5"/>
        <v>0</v>
      </c>
    </row>
    <row r="123" spans="2:19" x14ac:dyDescent="0.25">
      <c r="E123" s="61" t="s">
        <v>322</v>
      </c>
      <c r="F123" s="61">
        <f>+IF('Datos Recicladores'!G218="",'Datos Recicladores'!J218,'Datos Recicladores'!G218)*C114</f>
        <v>0</v>
      </c>
      <c r="G123" s="61">
        <f>+IF('Datos Recicladores'!H218="",'Datos Recicladores'!M218,'Datos Recicladores'!H218)</f>
        <v>0</v>
      </c>
      <c r="H123" s="61">
        <f t="shared" si="2"/>
        <v>0</v>
      </c>
      <c r="I123" s="1199">
        <f>+IF(F123&gt;0,PMT($C$34,IF('Datos Recicladores'!$O$146="",'Datos Recicladores'!$P$146,'Datos Recicladores'!$O$146)*12,-'C.Recicladores'!H123),0)</f>
        <v>0</v>
      </c>
      <c r="J123" s="1199"/>
      <c r="K123" s="1199"/>
      <c r="M123" t="b">
        <v>1</v>
      </c>
      <c r="N123" t="b">
        <v>0</v>
      </c>
      <c r="O123" t="b">
        <v>0</v>
      </c>
      <c r="Q123" s="2">
        <f>+IF(M123=TRUE,$I123,0)</f>
        <v>0</v>
      </c>
      <c r="R123" s="2">
        <f t="shared" si="4"/>
        <v>0</v>
      </c>
      <c r="S123" s="2">
        <f t="shared" si="5"/>
        <v>0</v>
      </c>
    </row>
    <row r="124" spans="2:19" x14ac:dyDescent="0.25">
      <c r="E124" s="60" t="s">
        <v>195</v>
      </c>
      <c r="F124" s="60">
        <f>+IF('Datos Recicladores'!G219="",'Datos Recicladores'!J219,'Datos Recicladores'!G219)*C114</f>
        <v>0</v>
      </c>
      <c r="G124" s="60">
        <f>+IF('Datos Recicladores'!H219="",'Datos Recicladores'!M219,'Datos Recicladores'!H219)</f>
        <v>0</v>
      </c>
      <c r="H124" s="60">
        <f t="shared" si="2"/>
        <v>0</v>
      </c>
      <c r="I124" s="1190">
        <f>+IF(F124&gt;0,PMT($C$34,IF('Datos Recicladores'!$O$146="",'Datos Recicladores'!$P$146,'Datos Recicladores'!$O$146)*12,-'C.Recicladores'!H124),0)</f>
        <v>0</v>
      </c>
      <c r="J124" s="1190"/>
      <c r="K124" s="1190"/>
      <c r="M124" t="b">
        <v>1</v>
      </c>
      <c r="N124" t="b">
        <v>0</v>
      </c>
      <c r="O124" t="b">
        <v>0</v>
      </c>
      <c r="Q124" s="2">
        <f t="shared" si="3"/>
        <v>0</v>
      </c>
      <c r="R124" s="2">
        <f t="shared" si="4"/>
        <v>0</v>
      </c>
      <c r="S124" s="2">
        <f t="shared" si="5"/>
        <v>0</v>
      </c>
    </row>
    <row r="125" spans="2:19" x14ac:dyDescent="0.25">
      <c r="E125" s="61" t="s">
        <v>196</v>
      </c>
      <c r="F125" s="61">
        <f>+IF('Datos Recicladores'!G220="",'Datos Recicladores'!J220,'Datos Recicladores'!G220)*C114</f>
        <v>0</v>
      </c>
      <c r="G125" s="61">
        <f>+IF('Datos Recicladores'!H220="",'Datos Recicladores'!M220,'Datos Recicladores'!H220)</f>
        <v>0</v>
      </c>
      <c r="H125" s="61">
        <f t="shared" si="2"/>
        <v>0</v>
      </c>
      <c r="I125" s="1199">
        <f>+IF(F125&gt;0,PMT($C$34,IF('Datos Recicladores'!$O$146="",'Datos Recicladores'!$P$146,'Datos Recicladores'!$O$146)*12,-'C.Recicladores'!H125),0)</f>
        <v>0</v>
      </c>
      <c r="J125" s="1199"/>
      <c r="K125" s="1199"/>
      <c r="M125" t="b">
        <v>1</v>
      </c>
      <c r="N125" t="b">
        <v>0</v>
      </c>
      <c r="O125" t="b">
        <v>0</v>
      </c>
      <c r="Q125" s="2">
        <f t="shared" si="3"/>
        <v>0</v>
      </c>
      <c r="R125" s="2">
        <f t="shared" si="4"/>
        <v>0</v>
      </c>
      <c r="S125" s="2">
        <f t="shared" si="5"/>
        <v>0</v>
      </c>
    </row>
    <row r="126" spans="2:19" x14ac:dyDescent="0.25">
      <c r="E126" s="60" t="s">
        <v>197</v>
      </c>
      <c r="F126" s="60">
        <f>+IF('Datos Recicladores'!G221="",'Datos Recicladores'!J221,'Datos Recicladores'!G221)*C114</f>
        <v>0</v>
      </c>
      <c r="G126" s="60">
        <f>+IF('Datos Recicladores'!H221="",'Datos Recicladores'!M221,'Datos Recicladores'!H221)</f>
        <v>0</v>
      </c>
      <c r="H126" s="60">
        <f>+G126*F126</f>
        <v>0</v>
      </c>
      <c r="I126" s="1190">
        <f>+IF(F126&gt;0,PMT($C$34,IF('Datos Recicladores'!$O$146="",'Datos Recicladores'!$P$146,'Datos Recicladores'!$O$146)*12,-'C.Recicladores'!H126),0)</f>
        <v>0</v>
      </c>
      <c r="J126" s="1190"/>
      <c r="K126" s="1190"/>
      <c r="M126" t="b">
        <v>1</v>
      </c>
      <c r="N126" t="b">
        <v>0</v>
      </c>
      <c r="O126" t="b">
        <v>0</v>
      </c>
      <c r="Q126" s="2">
        <f t="shared" si="3"/>
        <v>0</v>
      </c>
      <c r="R126" s="2">
        <f t="shared" si="4"/>
        <v>0</v>
      </c>
      <c r="S126" s="2">
        <f t="shared" si="5"/>
        <v>0</v>
      </c>
    </row>
    <row r="127" spans="2:19" x14ac:dyDescent="0.25">
      <c r="E127" t="str">
        <f>+'Datos Prestador'!D210</f>
        <v>Embaladora automática</v>
      </c>
      <c r="F127" s="29">
        <f>+IF('Datos Recicladores'!G211="",'Datos Recicladores'!J211,'Datos Recicladores'!G211)*C114</f>
        <v>0</v>
      </c>
      <c r="G127">
        <f>+IF('Datos Recicladores'!H211="",'Datos Recicladores'!M211,'Datos Recicladores'!H211)</f>
        <v>0</v>
      </c>
      <c r="H127" s="61">
        <f>+G127*F127</f>
        <v>0</v>
      </c>
      <c r="I127" s="1199">
        <f>+IF(F127&gt;0,PMT($C$34,IF('Datos Prestador'!$O$145="",'Datos Prestador'!$P$145,'Datos Prestador'!$O$145)*12,-'C.Prestador'!H127),0)</f>
        <v>0</v>
      </c>
      <c r="J127" s="1199"/>
      <c r="K127" s="1199"/>
      <c r="M127" t="b">
        <v>1</v>
      </c>
      <c r="N127" t="b">
        <v>0</v>
      </c>
      <c r="O127" t="b">
        <v>0</v>
      </c>
      <c r="Q127" s="2">
        <f>+IF(M127=TRUE,$I127,0)</f>
        <v>0</v>
      </c>
      <c r="R127" s="2">
        <f>+IF(N127=TRUE,$I127,0)</f>
        <v>0</v>
      </c>
      <c r="S127" s="2">
        <f>+IF(O127=TRUE,$I127,0)</f>
        <v>0</v>
      </c>
    </row>
    <row r="128" spans="2:19" x14ac:dyDescent="0.25">
      <c r="E128" s="62" t="s">
        <v>9</v>
      </c>
      <c r="H128" s="32">
        <f>+SUM(H100:H127)</f>
        <v>0</v>
      </c>
      <c r="I128" s="1198">
        <f>+SUM(I100:K127)</f>
        <v>0</v>
      </c>
      <c r="J128" s="1198"/>
      <c r="K128" s="1198"/>
      <c r="P128" s="10" t="s">
        <v>9</v>
      </c>
      <c r="Q128" s="63">
        <f>+SUM(Q100:Q127)</f>
        <v>0</v>
      </c>
      <c r="R128" s="63">
        <f>+SUM(R100:R127)</f>
        <v>0</v>
      </c>
      <c r="S128" s="63">
        <f>+SUM(S100:S127)</f>
        <v>0</v>
      </c>
    </row>
    <row r="129" spans="1:19" x14ac:dyDescent="0.25">
      <c r="H129" s="434"/>
      <c r="K129" s="29"/>
    </row>
    <row r="131" spans="1:19" x14ac:dyDescent="0.25">
      <c r="A131" s="1206" t="s">
        <v>410</v>
      </c>
      <c r="B131" s="1206"/>
      <c r="C131" s="1206"/>
      <c r="E131" s="1193" t="s">
        <v>354</v>
      </c>
      <c r="F131" s="1193"/>
      <c r="G131" s="1193"/>
      <c r="H131" s="1193"/>
      <c r="I131" s="1193"/>
      <c r="J131" s="1193"/>
      <c r="K131" s="1193"/>
      <c r="L131" s="1193"/>
      <c r="M131" s="1193"/>
      <c r="N131" s="1193"/>
      <c r="O131" s="1193"/>
      <c r="P131" s="1193"/>
      <c r="Q131" s="1193"/>
      <c r="R131" s="1193"/>
      <c r="S131" s="1193"/>
    </row>
    <row r="132" spans="1:19" x14ac:dyDescent="0.25">
      <c r="A132" s="27"/>
      <c r="B132" s="27" t="s">
        <v>139</v>
      </c>
      <c r="C132" s="27" t="s">
        <v>9</v>
      </c>
    </row>
    <row r="133" spans="1:19" x14ac:dyDescent="0.25">
      <c r="A133" s="27" t="str">
        <f>+'Datos Recicladores'!M276</f>
        <v>Papel</v>
      </c>
      <c r="B133" s="28">
        <f>+IF('Datos Recicladores'!N276="",'Datos Recicladores'!O276,'Datos Recicladores'!N276)</f>
        <v>36.451251918247131</v>
      </c>
      <c r="C133" s="80">
        <f>+B133*Cálculos!G8/12</f>
        <v>0</v>
      </c>
      <c r="E133" s="75" t="s">
        <v>363</v>
      </c>
      <c r="F133" s="75" t="s">
        <v>110</v>
      </c>
      <c r="G133" s="75" t="s">
        <v>110</v>
      </c>
    </row>
    <row r="134" spans="1:19" x14ac:dyDescent="0.25">
      <c r="A134" s="27" t="str">
        <f>+'Datos Recicladores'!M277</f>
        <v>Cartón</v>
      </c>
      <c r="B134" s="28">
        <f>+IF('Datos Recicladores'!N277="",'Datos Recicladores'!O277,'Datos Recicladores'!N277)</f>
        <v>18.225625959123565</v>
      </c>
      <c r="C134" s="80">
        <f>+B134*Cálculos!G9/12</f>
        <v>0</v>
      </c>
      <c r="E134" s="4" t="s">
        <v>357</v>
      </c>
      <c r="F134" s="69" t="e">
        <f>+IF(AND(C104=TRUE,'Datos Recicladores'!N153="",'Datos Recicladores'!N154=""),HLOOKUP('C.Recicladores'!C120,Referencias!C166:E171,2,0)+HLOOKUP('C.Recicladores'!C120,Referencias!C166:E171,3,0),IF(AND('C.Recicladores'!C105=TRUE,'Datos Recicladores'!O153="",'Datos Recicladores'!O154=""),HLOOKUP('C.Recicladores'!C120,Referencias!C166:E171,2,0)+HLOOKUP('C.Recicladores'!C120,Referencias!C166:E171,3,0),IF('C.Recicladores'!C104=TRUE,'Datos Recicladores'!N153+'Datos Recicladores'!N154,ROUNDUP((C118*'Datos Recicladores'!P160)/'Datos Recicladores'!O153,0)+HLOOKUP(C120,Referencias!C166:E171,3,0))))</f>
        <v>#DIV/0!</v>
      </c>
      <c r="G134" s="69" t="e">
        <f>+F134*$C$114</f>
        <v>#DIV/0!</v>
      </c>
    </row>
    <row r="135" spans="1:19" x14ac:dyDescent="0.25">
      <c r="A135" s="27" t="str">
        <f>+'Datos Recicladores'!M278</f>
        <v>Vidrio</v>
      </c>
      <c r="B135" s="28">
        <f>+IF('Datos Recicladores'!N278="",'Datos Recicladores'!O278,'Datos Recicladores'!N278)</f>
        <v>18.225625959123565</v>
      </c>
      <c r="C135" s="80">
        <f>+B135*Cálculos!G10/12</f>
        <v>0</v>
      </c>
      <c r="E135" s="4" t="s">
        <v>159</v>
      </c>
      <c r="F135" s="4">
        <f>+IF(AND('C.Recicladores'!C104=TRUE,'Datos Recicladores'!N155=""),'Datos Recicladores'!P155,IF('C.Recicladores'!C104=TRUE,'Datos Recicladores'!N155,IF(AND('C.Recicladores'!C105=TRUE,'Datos Recicladores'!O155=""),'Datos Recicladores'!P155*(ROUNDUP('C.Recicladores'!F134/20,0)),'Datos Recicladores'!O155*(ROUNDUP('C.Recicladores'!F134/20,0)))))</f>
        <v>0</v>
      </c>
      <c r="G135" s="69">
        <f>+F135*$C$114</f>
        <v>0</v>
      </c>
    </row>
    <row r="136" spans="1:19" x14ac:dyDescent="0.25">
      <c r="A136" s="27" t="str">
        <f>+'Datos Recicladores'!M279</f>
        <v>Plástico</v>
      </c>
      <c r="B136" s="28">
        <f>+IF('Datos Recicladores'!N279="",'Datos Recicladores'!O279,'Datos Recicladores'!N279)</f>
        <v>36.451251918247131</v>
      </c>
      <c r="C136" s="80">
        <f>+B136*Cálculos!G11/12</f>
        <v>0</v>
      </c>
      <c r="E136" s="4" t="s">
        <v>345</v>
      </c>
      <c r="F136" s="4">
        <f>+IF('Datos Recicladores'!O157="",'Datos Recicladores'!P157,'Datos Recicladores'!O157)</f>
        <v>1</v>
      </c>
      <c r="G136" s="69">
        <f>+F136*$C$114</f>
        <v>0</v>
      </c>
    </row>
    <row r="137" spans="1:19" x14ac:dyDescent="0.25">
      <c r="A137" s="27" t="str">
        <f>+'Datos Recicladores'!M280</f>
        <v>Metal</v>
      </c>
      <c r="B137" s="28">
        <f>+IF('Datos Recicladores'!N280="",'Datos Recicladores'!O280,'Datos Recicladores'!N280)</f>
        <v>54.6768778773707</v>
      </c>
      <c r="C137" s="80">
        <f>+B137*Cálculos!G12/12</f>
        <v>0</v>
      </c>
    </row>
    <row r="138" spans="1:19" ht="36" customHeight="1" x14ac:dyDescent="0.25">
      <c r="A138" s="27" t="str">
        <f>+'Datos Recicladores'!M281</f>
        <v>Otros reciclables</v>
      </c>
      <c r="B138" s="28">
        <f>+IF('Datos Recicladores'!N281="",'Datos Recicladores'!O281,'Datos Recicladores'!N281)</f>
        <v>9.1128129795617827</v>
      </c>
      <c r="C138" s="80">
        <f>+B138*Cálculos!G13/12</f>
        <v>0</v>
      </c>
      <c r="E138" t="s">
        <v>136</v>
      </c>
      <c r="G138" s="65" t="s">
        <v>355</v>
      </c>
      <c r="H138" s="1191" t="str">
        <f>+'Datos Recicladores'!$N$169</f>
        <v>Supervisor</v>
      </c>
      <c r="I138" s="1191"/>
      <c r="J138" s="1192" t="str">
        <f>+'Datos Recicladores'!$O$169</f>
        <v>Coordinador operativo del centro de acopio</v>
      </c>
      <c r="K138" s="1192"/>
      <c r="M138" t="s">
        <v>125</v>
      </c>
      <c r="N138" t="s">
        <v>424</v>
      </c>
      <c r="O138" t="s">
        <v>137</v>
      </c>
      <c r="P138" t="s">
        <v>125</v>
      </c>
      <c r="Q138" s="10" t="s">
        <v>424</v>
      </c>
      <c r="R138" s="10" t="s">
        <v>137</v>
      </c>
    </row>
    <row r="139" spans="1:19" x14ac:dyDescent="0.25">
      <c r="A139" s="27"/>
      <c r="B139" s="70" t="s">
        <v>9</v>
      </c>
      <c r="C139" s="81">
        <f>+SUM(C133:C138)</f>
        <v>0</v>
      </c>
      <c r="E139" t="s">
        <v>128</v>
      </c>
      <c r="G139" s="47">
        <f>+'Datos Recicladores'!$M$170</f>
        <v>0</v>
      </c>
      <c r="H139" s="1196">
        <f>+'Datos Recicladores'!$N$170</f>
        <v>0</v>
      </c>
      <c r="I139" s="1197"/>
      <c r="J139" s="1196">
        <f>+'Datos Recicladores'!$O$170</f>
        <v>0</v>
      </c>
      <c r="K139" s="1197"/>
      <c r="M139" s="52"/>
    </row>
    <row r="140" spans="1:19" x14ac:dyDescent="0.25">
      <c r="E140" t="s">
        <v>129</v>
      </c>
      <c r="G140" s="47">
        <f>+'Datos Recicladores'!$M$171</f>
        <v>0</v>
      </c>
      <c r="H140" s="1196">
        <f>+'Datos Recicladores'!$N$171</f>
        <v>0</v>
      </c>
      <c r="I140" s="1197"/>
      <c r="J140" s="1196">
        <f>+'Datos Recicladores'!$O$171</f>
        <v>0</v>
      </c>
      <c r="K140" s="1197"/>
      <c r="L140" s="52" t="str">
        <f>+G138</f>
        <v>Operario de separación, embalaje, báscula y minicargador</v>
      </c>
      <c r="M140" t="b">
        <v>1</v>
      </c>
      <c r="N140" t="b">
        <v>0</v>
      </c>
      <c r="O140" t="b">
        <v>0</v>
      </c>
      <c r="P140" s="2" t="e">
        <f>+IF(M140=TRUE,G147,0)</f>
        <v>#DIV/0!</v>
      </c>
      <c r="Q140" s="2">
        <f>+IF(N140=TRUE,G147,0)</f>
        <v>0</v>
      </c>
      <c r="R140" s="2">
        <f>+IF(O140=TRUE,G147,0)</f>
        <v>0</v>
      </c>
    </row>
    <row r="141" spans="1:19" x14ac:dyDescent="0.25">
      <c r="E141" t="s">
        <v>130</v>
      </c>
      <c r="G141" s="49">
        <f>+G$139*'Datos Recicladores'!M172</f>
        <v>0</v>
      </c>
      <c r="H141" s="1194">
        <f>+H$139*'Datos Recicladores'!N172</f>
        <v>0</v>
      </c>
      <c r="I141" s="1195"/>
      <c r="J141" s="1194">
        <f>+J$139*'Datos Recicladores'!O172</f>
        <v>0</v>
      </c>
      <c r="K141" s="1195"/>
      <c r="L141" s="52" t="str">
        <f>+H138</f>
        <v>Supervisor</v>
      </c>
      <c r="M141" t="b">
        <v>1</v>
      </c>
      <c r="N141" t="b">
        <v>0</v>
      </c>
      <c r="O141" t="b">
        <v>0</v>
      </c>
      <c r="P141" s="2">
        <f>+IF(M141=TRUE,H147,0)</f>
        <v>0</v>
      </c>
      <c r="Q141" s="2">
        <f>+IF(N141=TRUE,H147,0)</f>
        <v>0</v>
      </c>
      <c r="R141" s="2">
        <f>+IF(O141=TRUE,H147,0)</f>
        <v>0</v>
      </c>
    </row>
    <row r="142" spans="1:19" x14ac:dyDescent="0.25">
      <c r="E142" t="s">
        <v>131</v>
      </c>
      <c r="G142" s="49">
        <f>+G$139*'Datos Recicladores'!M173</f>
        <v>0</v>
      </c>
      <c r="H142" s="1194">
        <f>+H$139*'Datos Recicladores'!N173</f>
        <v>0</v>
      </c>
      <c r="I142" s="1195"/>
      <c r="J142" s="1194">
        <f>+J$139*'Datos Recicladores'!O173</f>
        <v>0</v>
      </c>
      <c r="K142" s="1195"/>
      <c r="L142" s="52" t="str">
        <f>+J138</f>
        <v>Coordinador operativo del centro de acopio</v>
      </c>
      <c r="M142" t="b">
        <v>1</v>
      </c>
      <c r="N142" t="b">
        <v>0</v>
      </c>
      <c r="O142" t="b">
        <v>0</v>
      </c>
      <c r="P142" s="2">
        <f>+IF(M142=TRUE,J147,0)</f>
        <v>0</v>
      </c>
      <c r="Q142" s="2">
        <f>+IF(N142=TRUE,J147,0)</f>
        <v>0</v>
      </c>
      <c r="R142" s="2">
        <f>+IF(O142=TRUE,J147,0)</f>
        <v>0</v>
      </c>
    </row>
    <row r="143" spans="1:19" x14ac:dyDescent="0.25">
      <c r="E143" t="s">
        <v>132</v>
      </c>
      <c r="G143" s="49">
        <f>+G$139*'Datos Recicladores'!M174</f>
        <v>0</v>
      </c>
      <c r="H143" s="1194">
        <f>+H$139*'Datos Recicladores'!N174</f>
        <v>0</v>
      </c>
      <c r="I143" s="1195"/>
      <c r="J143" s="1194">
        <f>+J$139*'Datos Recicladores'!O174</f>
        <v>0</v>
      </c>
      <c r="K143" s="1195"/>
      <c r="M143" s="52"/>
      <c r="O143" t="s">
        <v>9</v>
      </c>
      <c r="P143" s="63" t="e">
        <f>+SUM(P140:P142)</f>
        <v>#DIV/0!</v>
      </c>
      <c r="Q143" s="63">
        <f>+SUM(Q140:Q142)</f>
        <v>0</v>
      </c>
      <c r="R143" s="63">
        <f>+SUM(R140:R142)</f>
        <v>0</v>
      </c>
    </row>
    <row r="144" spans="1:19" x14ac:dyDescent="0.25">
      <c r="E144" t="s">
        <v>133</v>
      </c>
      <c r="G144" s="49">
        <f>+G$139*'Datos Recicladores'!M175</f>
        <v>0</v>
      </c>
      <c r="H144" s="1194">
        <f>+H$139*'Datos Recicladores'!N175</f>
        <v>0</v>
      </c>
      <c r="I144" s="1195"/>
      <c r="J144" s="1194">
        <f>+J$139*'Datos Recicladores'!O175</f>
        <v>0</v>
      </c>
      <c r="K144" s="1195"/>
    </row>
    <row r="145" spans="5:19" x14ac:dyDescent="0.25">
      <c r="E145" t="s">
        <v>135</v>
      </c>
      <c r="G145" s="47">
        <f>+'Datos Recicladores'!M176</f>
        <v>0</v>
      </c>
      <c r="H145" s="1196">
        <f>+'Datos Recicladores'!N176</f>
        <v>0</v>
      </c>
      <c r="I145" s="1197"/>
      <c r="J145" s="1196">
        <f>+'Datos Recicladores'!O176</f>
        <v>0</v>
      </c>
      <c r="K145" s="1197"/>
    </row>
    <row r="146" spans="5:19" x14ac:dyDescent="0.25">
      <c r="E146" s="10" t="s">
        <v>9</v>
      </c>
      <c r="F146" s="10"/>
      <c r="G146" s="49">
        <f>+SUM(G139:G145)</f>
        <v>0</v>
      </c>
      <c r="H146" s="1194">
        <f>+SUM(H139:I145)</f>
        <v>0</v>
      </c>
      <c r="I146" s="1195"/>
      <c r="J146" s="1194">
        <f>+SUM(J139:K145)</f>
        <v>0</v>
      </c>
      <c r="K146" s="1195"/>
    </row>
    <row r="147" spans="5:19" x14ac:dyDescent="0.25">
      <c r="E147" s="10" t="s">
        <v>351</v>
      </c>
      <c r="G147" s="49" t="e">
        <f>+G146*G134</f>
        <v>#DIV/0!</v>
      </c>
      <c r="H147" s="1215">
        <f>+H146*G135</f>
        <v>0</v>
      </c>
      <c r="I147" s="1215"/>
      <c r="J147" s="1216">
        <f>+J146*G136</f>
        <v>0</v>
      </c>
      <c r="K147" s="1216"/>
    </row>
    <row r="150" spans="5:19" x14ac:dyDescent="0.25">
      <c r="E150" s="1193" t="s">
        <v>290</v>
      </c>
      <c r="F150" s="1193"/>
      <c r="G150" s="1193"/>
      <c r="H150" s="1193"/>
      <c r="I150" s="1193"/>
      <c r="J150" s="1193"/>
      <c r="K150" s="1193"/>
      <c r="L150" s="1193"/>
      <c r="M150" s="1193"/>
      <c r="N150" s="1193"/>
      <c r="O150" s="1193"/>
      <c r="P150" s="1193"/>
      <c r="Q150" s="1193"/>
      <c r="R150" s="1193"/>
      <c r="S150" s="1193"/>
    </row>
    <row r="152" spans="5:19" x14ac:dyDescent="0.25">
      <c r="M152" t="s">
        <v>125</v>
      </c>
      <c r="N152" t="s">
        <v>424</v>
      </c>
      <c r="O152" t="s">
        <v>137</v>
      </c>
      <c r="P152" s="10" t="s">
        <v>125</v>
      </c>
      <c r="Q152" s="10" t="s">
        <v>424</v>
      </c>
      <c r="R152" s="10" t="s">
        <v>137</v>
      </c>
    </row>
    <row r="153" spans="5:19" x14ac:dyDescent="0.25">
      <c r="E153" t="s">
        <v>204</v>
      </c>
      <c r="F153" s="66">
        <f>+IF('Datos Recicladores'!J241="",'Datos Recicladores'!M241,'Datos Recicladores'!J241)*SUM('C.Recicladores'!F102:F103)</f>
        <v>0</v>
      </c>
      <c r="L153" t="s">
        <v>361</v>
      </c>
      <c r="M153" t="b">
        <v>1</v>
      </c>
      <c r="N153" t="b">
        <v>0</v>
      </c>
      <c r="O153" t="b">
        <v>0</v>
      </c>
      <c r="P153" s="68">
        <f>+IF(M153=TRUE,$F$153,0)</f>
        <v>0</v>
      </c>
      <c r="Q153" s="68">
        <f>+IF(N153=TRUE,$F$153,0)</f>
        <v>0</v>
      </c>
      <c r="R153" s="68">
        <f>+IF(O153=TRUE,$F$153,0)</f>
        <v>0</v>
      </c>
    </row>
    <row r="154" spans="5:19" x14ac:dyDescent="0.25">
      <c r="L154" t="s">
        <v>362</v>
      </c>
      <c r="M154" t="b">
        <v>1</v>
      </c>
      <c r="N154" t="b">
        <v>0</v>
      </c>
      <c r="O154" t="b">
        <v>0</v>
      </c>
      <c r="P154" s="68" t="e">
        <f>+IF(M154=TRUE,$F$155,0)</f>
        <v>#DIV/0!</v>
      </c>
      <c r="Q154" s="68">
        <f>+IF(N154=TRUE,$F$155,0)</f>
        <v>0</v>
      </c>
      <c r="R154" s="68">
        <f>+IF(O154=TRUE,$F$155,0)</f>
        <v>0</v>
      </c>
    </row>
    <row r="155" spans="5:19" x14ac:dyDescent="0.25">
      <c r="E155" t="s">
        <v>706</v>
      </c>
      <c r="F155" s="424" t="e">
        <f>+IF('Datos Recicladores'!J242="",'Datos Recicladores'!M242,'Datos Recicladores'!J242)*C114</f>
        <v>#DIV/0!</v>
      </c>
      <c r="P155" s="32" t="e">
        <f>+SUM(P153:P154)</f>
        <v>#DIV/0!</v>
      </c>
      <c r="Q155" s="32">
        <f>+SUM(Q153:Q154)</f>
        <v>0</v>
      </c>
      <c r="R155" s="32">
        <f>+SUM(R153:R154)</f>
        <v>0</v>
      </c>
    </row>
    <row r="156" spans="5:19" x14ac:dyDescent="0.25">
      <c r="E156" s="10" t="s">
        <v>268</v>
      </c>
      <c r="F156" s="32" t="e">
        <f>+F155+F153</f>
        <v>#DIV/0!</v>
      </c>
    </row>
    <row r="159" spans="5:19" x14ac:dyDescent="0.25">
      <c r="E159" s="1193" t="s">
        <v>292</v>
      </c>
      <c r="F159" s="1193"/>
      <c r="G159" s="1193"/>
      <c r="H159" s="1193"/>
      <c r="I159" s="1193"/>
      <c r="J159" s="1193"/>
      <c r="K159" s="1193"/>
      <c r="L159" s="1193"/>
      <c r="M159" s="1193"/>
      <c r="N159" s="1193"/>
      <c r="O159" s="1193"/>
      <c r="P159" s="1193"/>
      <c r="Q159" s="1193"/>
      <c r="R159" s="1193"/>
      <c r="S159" s="1193"/>
    </row>
    <row r="161" spans="5:19" x14ac:dyDescent="0.25">
      <c r="M161" t="s">
        <v>125</v>
      </c>
      <c r="N161" t="s">
        <v>424</v>
      </c>
      <c r="O161" t="s">
        <v>137</v>
      </c>
      <c r="P161" s="10" t="s">
        <v>472</v>
      </c>
      <c r="Q161" s="10" t="s">
        <v>424</v>
      </c>
      <c r="R161" s="10" t="s">
        <v>137</v>
      </c>
    </row>
    <row r="162" spans="5:19" x14ac:dyDescent="0.25">
      <c r="E162" t="s">
        <v>200</v>
      </c>
      <c r="F162" s="2">
        <f>+IF('Datos Recicladores'!$H$229="",'Datos Recicladores'!$J$229*'C.Recicladores'!C110,'Datos Recicladores'!$H$229*'C.Recicladores'!C110)</f>
        <v>0</v>
      </c>
      <c r="L162" t="str">
        <f>+E162</f>
        <v>Costos de operación</v>
      </c>
      <c r="M162" t="b">
        <v>1</v>
      </c>
      <c r="N162" t="b">
        <v>0</v>
      </c>
      <c r="O162" t="b">
        <v>0</v>
      </c>
      <c r="P162" s="63">
        <f>+IF(M162=TRUE,$F162,0)</f>
        <v>0</v>
      </c>
      <c r="Q162" s="68">
        <f t="shared" ref="Q162:R164" si="6">+IF(N162=TRUE,$F162,0)</f>
        <v>0</v>
      </c>
      <c r="R162" s="68">
        <f t="shared" si="6"/>
        <v>0</v>
      </c>
    </row>
    <row r="163" spans="5:19" x14ac:dyDescent="0.25">
      <c r="E163" t="s">
        <v>201</v>
      </c>
      <c r="F163" s="29" t="e">
        <f>+IF('Datos Recicladores'!$H$230="",'Datos Recicladores'!$J$230,'Datos Recicladores'!$H$230)*C114</f>
        <v>#DIV/0!</v>
      </c>
      <c r="L163" t="str">
        <f>+E163</f>
        <v>Mantenimiento de maquinaria y equipo</v>
      </c>
      <c r="M163" t="b">
        <v>1</v>
      </c>
      <c r="N163" t="b">
        <v>0</v>
      </c>
      <c r="O163" t="b">
        <v>0</v>
      </c>
      <c r="P163" s="63" t="e">
        <f>+IF(M163=TRUE,$F163,0)</f>
        <v>#DIV/0!</v>
      </c>
      <c r="Q163" s="68">
        <f t="shared" si="6"/>
        <v>0</v>
      </c>
      <c r="R163" s="68">
        <f t="shared" si="6"/>
        <v>0</v>
      </c>
    </row>
    <row r="164" spans="5:19" x14ac:dyDescent="0.25">
      <c r="E164" t="s">
        <v>202</v>
      </c>
      <c r="F164" s="29" t="e">
        <f>+IF('Datos Recicladores'!$H$231="",'Datos Recicladores'!$J$231,'Datos Recicladores'!$H$231)*C114</f>
        <v>#DIV/0!</v>
      </c>
      <c r="L164" t="str">
        <f>+E164</f>
        <v>Mantenimiento de instalaciones</v>
      </c>
      <c r="M164" t="b">
        <v>1</v>
      </c>
      <c r="N164" t="b">
        <v>0</v>
      </c>
      <c r="O164" t="b">
        <v>0</v>
      </c>
      <c r="P164" s="63" t="e">
        <f>+IF(M164=TRUE,$F164,0)</f>
        <v>#DIV/0!</v>
      </c>
      <c r="Q164" s="68">
        <f t="shared" si="6"/>
        <v>0</v>
      </c>
      <c r="R164" s="68">
        <f t="shared" si="6"/>
        <v>0</v>
      </c>
    </row>
    <row r="165" spans="5:19" x14ac:dyDescent="0.25">
      <c r="O165" s="10" t="s">
        <v>9</v>
      </c>
      <c r="P165" s="32" t="e">
        <f>+SUM(P162:P164)</f>
        <v>#DIV/0!</v>
      </c>
      <c r="Q165" s="32">
        <f>+SUM(Q162:Q164)</f>
        <v>0</v>
      </c>
      <c r="R165" s="32">
        <f>+SUM(R162:R164)</f>
        <v>0</v>
      </c>
    </row>
    <row r="167" spans="5:19" x14ac:dyDescent="0.25">
      <c r="E167" s="1193" t="s">
        <v>296</v>
      </c>
      <c r="F167" s="1193"/>
      <c r="G167" s="1193"/>
      <c r="H167" s="1193"/>
      <c r="I167" s="1193"/>
      <c r="J167" s="1193"/>
      <c r="K167" s="1193"/>
      <c r="L167" s="1193"/>
      <c r="M167" s="1193"/>
      <c r="N167" s="1193"/>
      <c r="O167" s="1193"/>
      <c r="P167" s="1193"/>
      <c r="Q167" s="1193"/>
      <c r="R167" s="1193"/>
      <c r="S167" s="1193"/>
    </row>
    <row r="170" spans="5:19" ht="26.25" x14ac:dyDescent="0.25">
      <c r="M170" s="10" t="s">
        <v>86</v>
      </c>
      <c r="N170" t="s">
        <v>426</v>
      </c>
      <c r="O170" s="124" t="s">
        <v>137</v>
      </c>
      <c r="P170" t="s">
        <v>125</v>
      </c>
    </row>
    <row r="171" spans="5:19" x14ac:dyDescent="0.25">
      <c r="E171" t="s">
        <v>291</v>
      </c>
      <c r="F171" s="29">
        <f>+I128</f>
        <v>0</v>
      </c>
      <c r="M171" t="s">
        <v>291</v>
      </c>
      <c r="N171" s="29">
        <f>+R128</f>
        <v>0</v>
      </c>
      <c r="O171" s="29">
        <f>+S128</f>
        <v>0</v>
      </c>
      <c r="P171" s="29">
        <f t="shared" ref="P171:P176" si="7">+IF((F171-N171-O171)&lt;0,0,F171-N171-O171)</f>
        <v>0</v>
      </c>
    </row>
    <row r="172" spans="5:19" x14ac:dyDescent="0.25">
      <c r="E172" t="s">
        <v>290</v>
      </c>
      <c r="F172" s="29" t="e">
        <f>+F156</f>
        <v>#DIV/0!</v>
      </c>
      <c r="M172" t="s">
        <v>290</v>
      </c>
      <c r="N172" s="29">
        <f>+Q155</f>
        <v>0</v>
      </c>
      <c r="O172" s="29">
        <f>+R155</f>
        <v>0</v>
      </c>
      <c r="P172" s="29" t="e">
        <f t="shared" si="7"/>
        <v>#DIV/0!</v>
      </c>
    </row>
    <row r="173" spans="5:19" x14ac:dyDescent="0.25">
      <c r="E173" t="s">
        <v>292</v>
      </c>
      <c r="F173" s="29" t="e">
        <f>+F162+F163+F164</f>
        <v>#DIV/0!</v>
      </c>
      <c r="M173" t="s">
        <v>292</v>
      </c>
      <c r="N173" s="29">
        <f>+Q140</f>
        <v>0</v>
      </c>
      <c r="O173" s="29">
        <f>+Q165</f>
        <v>0</v>
      </c>
      <c r="P173" s="29" t="e">
        <f t="shared" si="7"/>
        <v>#DIV/0!</v>
      </c>
    </row>
    <row r="174" spans="5:19" x14ac:dyDescent="0.25">
      <c r="E174" t="s">
        <v>293</v>
      </c>
      <c r="F174" s="29" t="e">
        <f>+G147+H147+J147</f>
        <v>#DIV/0!</v>
      </c>
      <c r="G174" s="2"/>
      <c r="M174" t="s">
        <v>293</v>
      </c>
      <c r="N174" s="29">
        <f>+Q143</f>
        <v>0</v>
      </c>
      <c r="O174" s="29">
        <f>+R143</f>
        <v>0</v>
      </c>
      <c r="P174" s="29" t="e">
        <f t="shared" si="7"/>
        <v>#DIV/0!</v>
      </c>
    </row>
    <row r="175" spans="5:19" x14ac:dyDescent="0.25">
      <c r="E175" t="s">
        <v>208</v>
      </c>
      <c r="F175" s="29" t="e">
        <f>+IF('Datos Recicladores'!J254="",'Datos Recicladores'!L254,'Datos Recicladores'!J254)*SUM(F171:F174)</f>
        <v>#DIV/0!</v>
      </c>
      <c r="G175" s="29"/>
      <c r="M175" t="s">
        <v>208</v>
      </c>
      <c r="N175" s="29">
        <f>+IF(C38=TRUE,$F175,0)</f>
        <v>0</v>
      </c>
      <c r="O175" s="29" t="e">
        <f>+IF(C39=TRUE,$F175,0)</f>
        <v>#DIV/0!</v>
      </c>
      <c r="P175" s="29" t="e">
        <f t="shared" si="7"/>
        <v>#DIV/0!</v>
      </c>
    </row>
    <row r="176" spans="5:19" x14ac:dyDescent="0.25">
      <c r="E176" t="s">
        <v>294</v>
      </c>
      <c r="F176" s="29" t="e">
        <f>+SUM(F172:F175)*$C$34</f>
        <v>#DIV/0!</v>
      </c>
      <c r="M176" t="s">
        <v>294</v>
      </c>
      <c r="N176" s="29">
        <f>+SUM(N172:N175)*$C$34</f>
        <v>0</v>
      </c>
      <c r="O176" s="29" t="e">
        <f>+SUM(O172:O175)*$C$34</f>
        <v>#DIV/0!</v>
      </c>
      <c r="P176" s="29" t="e">
        <f t="shared" si="7"/>
        <v>#DIV/0!</v>
      </c>
    </row>
    <row r="177" spans="2:19" x14ac:dyDescent="0.25">
      <c r="E177" t="s">
        <v>381</v>
      </c>
      <c r="F177" s="29">
        <f>+(IF('Datos Recicladores'!O145="",'Datos Recicladores'!P145,'Datos Recicladores'!O145)*'Datos Generales'!L42)*('Datos Recicladores'!G158+'Datos Recicladores'!G159)</f>
        <v>0</v>
      </c>
      <c r="M177" t="s">
        <v>381</v>
      </c>
      <c r="N177" s="29"/>
      <c r="O177" s="29"/>
      <c r="P177" s="29">
        <f>+F177</f>
        <v>0</v>
      </c>
    </row>
    <row r="178" spans="2:19" x14ac:dyDescent="0.25">
      <c r="E178" s="10" t="s">
        <v>295</v>
      </c>
      <c r="F178" s="29" t="e">
        <f>+SUM(F171:F176)</f>
        <v>#DIV/0!</v>
      </c>
      <c r="M178" s="10" t="s">
        <v>9</v>
      </c>
      <c r="N178" s="32">
        <f>+SUM(N171:N177)</f>
        <v>0</v>
      </c>
      <c r="O178" s="32" t="e">
        <f>+SUM(O171:O177)</f>
        <v>#DIV/0!</v>
      </c>
      <c r="P178" s="32" t="e">
        <f>+SUM(P171:P177)</f>
        <v>#DIV/0!</v>
      </c>
    </row>
    <row r="179" spans="2:19" x14ac:dyDescent="0.25">
      <c r="B179" s="29" t="e">
        <f>+F175+'C.Prestador'!F89</f>
        <v>#DIV/0!</v>
      </c>
      <c r="E179" s="82" t="s">
        <v>409</v>
      </c>
      <c r="F179" s="83">
        <f>+F55</f>
        <v>0</v>
      </c>
      <c r="M179" t="s">
        <v>409</v>
      </c>
      <c r="P179" s="29">
        <f>+F179</f>
        <v>0</v>
      </c>
    </row>
    <row r="181" spans="2:19" x14ac:dyDescent="0.25">
      <c r="F181" s="2"/>
    </row>
    <row r="182" spans="2:19" x14ac:dyDescent="0.25">
      <c r="F182" s="29"/>
    </row>
    <row r="183" spans="2:19" x14ac:dyDescent="0.25">
      <c r="F183" s="29"/>
    </row>
    <row r="184" spans="2:19" x14ac:dyDescent="0.25">
      <c r="F184" s="29"/>
    </row>
    <row r="185" spans="2:19" ht="23.25" x14ac:dyDescent="0.25">
      <c r="B185" s="1212" t="s">
        <v>365</v>
      </c>
      <c r="C185" s="1213"/>
      <c r="D185" s="1213"/>
      <c r="E185" s="1213"/>
      <c r="F185" s="1213"/>
      <c r="G185" s="1213"/>
      <c r="H185" s="1213"/>
      <c r="I185" s="1213"/>
      <c r="J185" s="1213"/>
      <c r="K185" s="1213"/>
      <c r="L185" s="1213"/>
      <c r="M185" s="1213"/>
      <c r="N185" s="1213"/>
      <c r="O185" s="1213"/>
      <c r="P185" s="1213"/>
      <c r="Q185" s="1213"/>
      <c r="R185" s="1213"/>
      <c r="S185" s="1213"/>
    </row>
    <row r="187" spans="2:19" ht="18.75" x14ac:dyDescent="0.25">
      <c r="B187" s="804" t="s">
        <v>367</v>
      </c>
      <c r="C187" s="804"/>
      <c r="D187" s="804"/>
      <c r="E187" s="804"/>
      <c r="F187" s="804"/>
      <c r="G187" s="804"/>
      <c r="H187" s="804"/>
      <c r="I187" s="804"/>
      <c r="J187" s="804"/>
      <c r="K187" s="804"/>
      <c r="L187" s="804"/>
      <c r="M187" s="804"/>
    </row>
    <row r="189" spans="2:19" x14ac:dyDescent="0.25">
      <c r="B189" s="1214" t="s">
        <v>685</v>
      </c>
      <c r="C189" s="1214"/>
      <c r="E189" s="1214" t="s">
        <v>409</v>
      </c>
      <c r="F189" s="1214"/>
    </row>
    <row r="190" spans="2:19" x14ac:dyDescent="0.25">
      <c r="B190" s="7" t="s">
        <v>73</v>
      </c>
      <c r="C190" s="67" t="s">
        <v>406</v>
      </c>
      <c r="E190" s="131" t="s">
        <v>73</v>
      </c>
      <c r="F190" s="225" t="s">
        <v>406</v>
      </c>
    </row>
    <row r="191" spans="2:19" x14ac:dyDescent="0.25">
      <c r="B191" s="72" t="s">
        <v>3</v>
      </c>
      <c r="C191" s="73">
        <f>+IF('Datos Recicladores'!F276="",'Datos Recicladores'!G276,'Datos Recicladores'!F276)*Cálculos!G8/12</f>
        <v>0</v>
      </c>
      <c r="E191" s="72" t="s">
        <v>3</v>
      </c>
      <c r="F191" s="73">
        <f>+IF('Datos Recicladores'!N276="",'Datos Recicladores'!O276,'Datos Recicladores'!N276)*Cálculos!G8/12</f>
        <v>0</v>
      </c>
    </row>
    <row r="192" spans="2:19" x14ac:dyDescent="0.25">
      <c r="B192" s="72" t="s">
        <v>4</v>
      </c>
      <c r="C192" s="73">
        <f>+IF('Datos Recicladores'!F277="",'Datos Recicladores'!G277,'Datos Recicladores'!F277)*Cálculos!G9/12</f>
        <v>0</v>
      </c>
      <c r="E192" s="72" t="s">
        <v>4</v>
      </c>
      <c r="F192" s="73">
        <f>+IF('Datos Recicladores'!N277="",'Datos Recicladores'!O277,'Datos Recicladores'!N277)*Cálculos!G9/12</f>
        <v>0</v>
      </c>
    </row>
    <row r="193" spans="2:13" x14ac:dyDescent="0.25">
      <c r="B193" s="72" t="s">
        <v>6</v>
      </c>
      <c r="C193" s="73">
        <f>+IF('Datos Recicladores'!F278="",'Datos Recicladores'!G278,'Datos Recicladores'!F278)*Cálculos!G10/12</f>
        <v>0</v>
      </c>
      <c r="E193" s="72" t="s">
        <v>6</v>
      </c>
      <c r="F193" s="73">
        <f>+IF('Datos Recicladores'!N278="",'Datos Recicladores'!O278,'Datos Recicladores'!N278)*Cálculos!G10/12</f>
        <v>0</v>
      </c>
    </row>
    <row r="194" spans="2:13" x14ac:dyDescent="0.25">
      <c r="B194" s="72" t="s">
        <v>5</v>
      </c>
      <c r="C194" s="73">
        <f>+IF('Datos Recicladores'!F279="",'Datos Recicladores'!G279,'Datos Recicladores'!F279)*Cálculos!G11/12</f>
        <v>0</v>
      </c>
      <c r="E194" s="72" t="s">
        <v>5</v>
      </c>
      <c r="F194" s="73">
        <f>+IF('Datos Recicladores'!N279="",'Datos Recicladores'!O279,'Datos Recicladores'!N279)*Cálculos!G11/12</f>
        <v>0</v>
      </c>
    </row>
    <row r="195" spans="2:13" x14ac:dyDescent="0.25">
      <c r="B195" s="72" t="s">
        <v>7</v>
      </c>
      <c r="C195" s="73">
        <f>+IF('Datos Recicladores'!F280="",'Datos Recicladores'!G280,'Datos Recicladores'!F280)*Cálculos!G12/12</f>
        <v>0</v>
      </c>
      <c r="E195" s="72" t="s">
        <v>7</v>
      </c>
      <c r="F195" s="73">
        <f>+IF('Datos Recicladores'!N280="",'Datos Recicladores'!O280,'Datos Recicladores'!N280)*Cálculos!G12/12</f>
        <v>0</v>
      </c>
    </row>
    <row r="196" spans="2:13" x14ac:dyDescent="0.25">
      <c r="B196" s="72" t="s">
        <v>72</v>
      </c>
      <c r="C196" s="73">
        <f>+IF('Datos Recicladores'!F281="",'Datos Recicladores'!G281,'Datos Recicladores'!F281)*Cálculos!G13/12</f>
        <v>0</v>
      </c>
      <c r="E196" s="72" t="s">
        <v>72</v>
      </c>
      <c r="F196" s="73">
        <f>+IF('Datos Recicladores'!N281="",'Datos Recicladores'!O281,'Datos Recicladores'!N281)*Cálculos!G13/12</f>
        <v>0</v>
      </c>
    </row>
    <row r="197" spans="2:13" x14ac:dyDescent="0.25">
      <c r="B197" s="72" t="s">
        <v>9</v>
      </c>
      <c r="C197" s="73">
        <f>+SUM(C191:C196)</f>
        <v>0</v>
      </c>
      <c r="E197" s="72" t="s">
        <v>9</v>
      </c>
      <c r="F197" s="73">
        <f>+SUM(F191:F196)</f>
        <v>0</v>
      </c>
    </row>
    <row r="198" spans="2:13" x14ac:dyDescent="0.25">
      <c r="C198" s="29"/>
    </row>
    <row r="200" spans="2:13" ht="18.75" x14ac:dyDescent="0.25">
      <c r="B200" s="804" t="s">
        <v>377</v>
      </c>
      <c r="C200" s="804"/>
      <c r="D200" s="804"/>
      <c r="E200" s="804"/>
      <c r="F200" s="804"/>
      <c r="G200" s="804"/>
      <c r="H200" s="804"/>
      <c r="I200" s="804"/>
      <c r="J200" s="804"/>
      <c r="K200" s="804"/>
      <c r="L200" s="804"/>
      <c r="M200" s="804"/>
    </row>
    <row r="202" spans="2:13" x14ac:dyDescent="0.25">
      <c r="B202" t="s">
        <v>407</v>
      </c>
      <c r="C202" t="s">
        <v>408</v>
      </c>
    </row>
    <row r="203" spans="2:13" x14ac:dyDescent="0.25">
      <c r="B203" t="s">
        <v>81</v>
      </c>
      <c r="C203" s="29">
        <f>+'Datos Recicladores'!$G$287*Cálculos!G15</f>
        <v>0</v>
      </c>
    </row>
    <row r="204" spans="2:13" x14ac:dyDescent="0.25">
      <c r="B204" t="s">
        <v>121</v>
      </c>
      <c r="C204" s="29">
        <f>+'Datos Recicladores'!$N$287*Cálculos!G15</f>
        <v>0</v>
      </c>
    </row>
    <row r="207" spans="2:13" ht="18.75" x14ac:dyDescent="0.25">
      <c r="B207" s="804" t="s">
        <v>373</v>
      </c>
      <c r="C207" s="804"/>
      <c r="D207" s="804"/>
      <c r="E207" s="804"/>
      <c r="F207" s="804"/>
      <c r="G207" s="804"/>
      <c r="H207" s="804"/>
      <c r="I207" s="804"/>
      <c r="J207" s="804"/>
      <c r="K207" s="804"/>
      <c r="L207" s="804"/>
      <c r="M207" s="804"/>
    </row>
    <row r="209" spans="2:18" x14ac:dyDescent="0.25">
      <c r="B209" t="s">
        <v>374</v>
      </c>
      <c r="C209" t="b">
        <v>0</v>
      </c>
      <c r="E209" t="s">
        <v>379</v>
      </c>
      <c r="F209" s="2">
        <f>+IF(OR(C209=TRUE,C211=TRUE),'Datos Recicladores'!N294*Cálculos!G15*(1-IF('Datos Recicladores'!O145="",'Datos Recicladores'!P145,'Datos Recicladores'!O145)),0)</f>
        <v>0</v>
      </c>
    </row>
    <row r="210" spans="2:18" x14ac:dyDescent="0.25">
      <c r="B210" t="s">
        <v>375</v>
      </c>
      <c r="C210" t="b">
        <v>0</v>
      </c>
      <c r="E210" t="s">
        <v>380</v>
      </c>
      <c r="F210" s="2">
        <f>+IF(OR(C210=TRUE,C211=TRUE),'Datos Recicladores'!N296,0)</f>
        <v>0</v>
      </c>
    </row>
    <row r="211" spans="2:18" x14ac:dyDescent="0.25">
      <c r="B211" t="s">
        <v>376</v>
      </c>
      <c r="C211" t="b">
        <v>1</v>
      </c>
    </row>
    <row r="214" spans="2:18" x14ac:dyDescent="0.25">
      <c r="E214" s="1193" t="s">
        <v>400</v>
      </c>
      <c r="F214" s="1193"/>
      <c r="G214" s="1193"/>
      <c r="H214" s="1193"/>
      <c r="I214" s="1193"/>
      <c r="J214" s="1193"/>
      <c r="K214" s="1193"/>
      <c r="L214" s="1193"/>
      <c r="M214" s="1193"/>
      <c r="N214" s="1193"/>
      <c r="O214" s="1193"/>
      <c r="P214" s="1193"/>
      <c r="Q214" s="1193"/>
      <c r="R214" s="1193"/>
    </row>
    <row r="217" spans="2:18" x14ac:dyDescent="0.25">
      <c r="E217" t="s">
        <v>411</v>
      </c>
      <c r="F217" s="29">
        <f>+C197</f>
        <v>0</v>
      </c>
    </row>
    <row r="218" spans="2:18" x14ac:dyDescent="0.25">
      <c r="E218" t="s">
        <v>412</v>
      </c>
      <c r="F218" s="29">
        <f>+C203+C204</f>
        <v>0</v>
      </c>
    </row>
    <row r="219" spans="2:18" x14ac:dyDescent="0.25">
      <c r="E219" t="s">
        <v>413</v>
      </c>
      <c r="F219" s="29">
        <f>+F209</f>
        <v>0</v>
      </c>
    </row>
    <row r="220" spans="2:18" x14ac:dyDescent="0.25">
      <c r="E220" t="s">
        <v>414</v>
      </c>
      <c r="F220" s="29">
        <f>+F210*(F16*F24+F17*F24+H16*H24)</f>
        <v>0</v>
      </c>
    </row>
    <row r="221" spans="2:18" x14ac:dyDescent="0.25">
      <c r="E221" t="s">
        <v>415</v>
      </c>
      <c r="F221" s="29" t="e">
        <f>+F210*(G134+G135+G136)</f>
        <v>#DIV/0!</v>
      </c>
    </row>
    <row r="222" spans="2:18" x14ac:dyDescent="0.25">
      <c r="E222" t="s">
        <v>9</v>
      </c>
      <c r="F222" s="29" t="e">
        <f>+SUM(F217:F221)</f>
        <v>#DIV/0!</v>
      </c>
    </row>
  </sheetData>
  <mergeCells count="79">
    <mergeCell ref="E167:S167"/>
    <mergeCell ref="E150:S150"/>
    <mergeCell ref="H140:I140"/>
    <mergeCell ref="J140:K140"/>
    <mergeCell ref="H141:I141"/>
    <mergeCell ref="J141:K141"/>
    <mergeCell ref="J144:K144"/>
    <mergeCell ref="J146:K146"/>
    <mergeCell ref="H147:I147"/>
    <mergeCell ref="H142:I142"/>
    <mergeCell ref="H144:I144"/>
    <mergeCell ref="J147:K147"/>
    <mergeCell ref="H145:I145"/>
    <mergeCell ref="J145:K145"/>
    <mergeCell ref="E214:R214"/>
    <mergeCell ref="B187:M187"/>
    <mergeCell ref="B200:M200"/>
    <mergeCell ref="B207:M207"/>
    <mergeCell ref="B185:S185"/>
    <mergeCell ref="B189:C189"/>
    <mergeCell ref="E189:F189"/>
    <mergeCell ref="A131:C131"/>
    <mergeCell ref="I110:K110"/>
    <mergeCell ref="I124:K124"/>
    <mergeCell ref="I125:K125"/>
    <mergeCell ref="I115:K115"/>
    <mergeCell ref="I116:K116"/>
    <mergeCell ref="I118:K118"/>
    <mergeCell ref="I123:K123"/>
    <mergeCell ref="I111:K111"/>
    <mergeCell ref="E131:S131"/>
    <mergeCell ref="I119:K119"/>
    <mergeCell ref="I120:K120"/>
    <mergeCell ref="I121:K121"/>
    <mergeCell ref="I112:K112"/>
    <mergeCell ref="I113:K113"/>
    <mergeCell ref="I114:K114"/>
    <mergeCell ref="I117:K117"/>
    <mergeCell ref="I108:K108"/>
    <mergeCell ref="I109:K109"/>
    <mergeCell ref="I107:K107"/>
    <mergeCell ref="I102:K102"/>
    <mergeCell ref="I103:K103"/>
    <mergeCell ref="I104:K104"/>
    <mergeCell ref="I105:K105"/>
    <mergeCell ref="I106:K106"/>
    <mergeCell ref="I42:J42"/>
    <mergeCell ref="I43:J43"/>
    <mergeCell ref="B5:C5"/>
    <mergeCell ref="E5:I5"/>
    <mergeCell ref="K5:P5"/>
    <mergeCell ref="E47:S47"/>
    <mergeCell ref="E57:S57"/>
    <mergeCell ref="I99:K99"/>
    <mergeCell ref="I100:K100"/>
    <mergeCell ref="I101:K101"/>
    <mergeCell ref="B94:S94"/>
    <mergeCell ref="E97:S97"/>
    <mergeCell ref="E71:S71"/>
    <mergeCell ref="E82:S82"/>
    <mergeCell ref="B3:S3"/>
    <mergeCell ref="I40:J40"/>
    <mergeCell ref="I41:J41"/>
    <mergeCell ref="E35:K35"/>
    <mergeCell ref="M35:R35"/>
    <mergeCell ref="E36:S36"/>
    <mergeCell ref="I122:K122"/>
    <mergeCell ref="H138:I138"/>
    <mergeCell ref="J138:K138"/>
    <mergeCell ref="E159:S159"/>
    <mergeCell ref="H143:I143"/>
    <mergeCell ref="J143:K143"/>
    <mergeCell ref="H139:I139"/>
    <mergeCell ref="J139:K139"/>
    <mergeCell ref="J142:K142"/>
    <mergeCell ref="H146:I146"/>
    <mergeCell ref="I128:K128"/>
    <mergeCell ref="I126:K126"/>
    <mergeCell ref="I127:K127"/>
  </mergeCells>
  <conditionalFormatting sqref="I34:I39">
    <cfRule type="expression" dxfId="51" priority="1">
      <formula>$C$11&lt;$A$1</formula>
    </cfRule>
  </conditionalFormatting>
  <pageMargins left="0.7" right="0.7" top="0.75" bottom="0.75" header="0.3" footer="0.3"/>
  <pageSetup paperSize="9" orientation="portrait" r:id="rId1"/>
  <ignoredErrors>
    <ignoredError sqref="Q52" 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tabColor theme="5" tint="0.39997558519241921"/>
  </sheetPr>
  <dimension ref="A3:S222"/>
  <sheetViews>
    <sheetView showGridLines="0" topLeftCell="A194" zoomScaleNormal="100" workbookViewId="0">
      <selection activeCell="C212" sqref="C212"/>
    </sheetView>
  </sheetViews>
  <sheetFormatPr baseColWidth="10" defaultColWidth="11.5703125" defaultRowHeight="15" x14ac:dyDescent="0.25"/>
  <cols>
    <col min="1" max="1" width="8.85546875" customWidth="1"/>
    <col min="2" max="2" width="32.42578125" customWidth="1"/>
    <col min="3" max="3" width="27.5703125" customWidth="1"/>
    <col min="4" max="4" width="3.5703125" customWidth="1"/>
    <col min="5" max="5" width="34.140625" customWidth="1"/>
    <col min="6" max="6" width="36.140625" customWidth="1"/>
    <col min="7" max="7" width="27.28515625" bestFit="1" customWidth="1"/>
    <col min="8" max="8" width="27.42578125" customWidth="1"/>
    <col min="9" max="9" width="17.28515625" customWidth="1"/>
    <col min="10" max="10" width="2.28515625" customWidth="1"/>
    <col min="11" max="11" width="24.85546875" customWidth="1"/>
    <col min="12" max="15" width="22.5703125" customWidth="1"/>
    <col min="16" max="16" width="20.5703125" customWidth="1"/>
    <col min="17" max="17" width="23.7109375" customWidth="1"/>
    <col min="18" max="19" width="38.140625" bestFit="1" customWidth="1"/>
    <col min="21" max="21" width="13.140625" bestFit="1" customWidth="1"/>
    <col min="22" max="23" width="15.5703125" bestFit="1" customWidth="1"/>
  </cols>
  <sheetData>
    <row r="3" spans="2:19" ht="45" customHeight="1" x14ac:dyDescent="0.25">
      <c r="B3" s="1200" t="s">
        <v>142</v>
      </c>
      <c r="C3" s="1201"/>
      <c r="D3" s="1201"/>
      <c r="E3" s="1201"/>
      <c r="F3" s="1201"/>
      <c r="G3" s="1201"/>
      <c r="H3" s="1201"/>
      <c r="I3" s="1201"/>
      <c r="J3" s="1201"/>
      <c r="K3" s="1201"/>
      <c r="L3" s="1201"/>
      <c r="M3" s="1201"/>
      <c r="N3" s="1201"/>
      <c r="O3" s="1201"/>
      <c r="P3" s="1201"/>
      <c r="Q3" s="1201"/>
      <c r="R3" s="1201"/>
      <c r="S3" s="1201"/>
    </row>
    <row r="5" spans="2:19" ht="21" x14ac:dyDescent="0.35">
      <c r="B5" s="1211" t="s">
        <v>287</v>
      </c>
      <c r="C5" s="1211"/>
      <c r="D5" s="3"/>
      <c r="E5" s="1203" t="s">
        <v>253</v>
      </c>
      <c r="F5" s="1203"/>
      <c r="G5" s="1203"/>
      <c r="H5" s="1203"/>
      <c r="I5" s="1203"/>
      <c r="J5" s="45"/>
    </row>
    <row r="6" spans="2:19" x14ac:dyDescent="0.25">
      <c r="B6" s="27" t="s">
        <v>85</v>
      </c>
      <c r="C6" s="27">
        <v>1</v>
      </c>
      <c r="D6" s="3"/>
      <c r="E6" s="27" t="s">
        <v>257</v>
      </c>
      <c r="F6" s="27" t="str">
        <f>+'Datos Recicladores'!G19</f>
        <v>Combinación de equipo de tracción manual con camión</v>
      </c>
      <c r="J6" s="3"/>
    </row>
    <row r="7" spans="2:19" x14ac:dyDescent="0.25">
      <c r="B7" s="27" t="s">
        <v>212</v>
      </c>
      <c r="C7" s="27">
        <v>2</v>
      </c>
      <c r="D7" s="3"/>
      <c r="E7" t="s">
        <v>83</v>
      </c>
      <c r="F7" t="str">
        <f>+IF('Datos Recicladores'!G19="Combinación de equipo de tracción manual con camión",'Datos Recicladores'!G24,'Datos Recicladores'!G19)</f>
        <v>Vehículo motorizado mediano</v>
      </c>
      <c r="H7" t="str">
        <f>+IF('Datos Recicladores'!G19="Combinación de Equipo de tracción manual con camión",'Datos Recicladores'!O24,"")</f>
        <v>Equipo de tracción manual</v>
      </c>
      <c r="J7" s="3"/>
    </row>
    <row r="8" spans="2:19" x14ac:dyDescent="0.25">
      <c r="B8" s="27" t="s">
        <v>433</v>
      </c>
      <c r="C8" s="27">
        <v>3</v>
      </c>
      <c r="D8" s="3"/>
      <c r="E8" s="10" t="s">
        <v>254</v>
      </c>
      <c r="J8" s="3"/>
    </row>
    <row r="9" spans="2:19" x14ac:dyDescent="0.25">
      <c r="B9" s="27" t="s">
        <v>456</v>
      </c>
      <c r="C9" s="27">
        <v>4</v>
      </c>
      <c r="D9" s="3"/>
      <c r="E9" t="str">
        <f>+CONCATENATE("Capacidad efectiva del vehículo",(IF('Datos Recicladores'!G26="Peso (Toneladas)"," TON"," M3")))</f>
        <v>Capacidad efectiva del vehículo TON</v>
      </c>
      <c r="F9" s="28">
        <f>'Datos Recicladores'!H27</f>
        <v>3.5</v>
      </c>
      <c r="H9" s="31">
        <f>IF(C11&lt;4,0,'Datos Recicladores'!P27)</f>
        <v>3.125</v>
      </c>
      <c r="J9" s="3"/>
    </row>
    <row r="10" spans="2:19" x14ac:dyDescent="0.25">
      <c r="B10" s="27"/>
      <c r="C10" s="27"/>
      <c r="D10" s="3"/>
      <c r="E10" t="s">
        <v>240</v>
      </c>
      <c r="F10" s="29">
        <f>+SUM(F11:F14)</f>
        <v>1.1428571428571426</v>
      </c>
      <c r="H10" s="29">
        <f>+SUM(H11:H14)</f>
        <v>2.333333333333333</v>
      </c>
      <c r="J10" s="3"/>
    </row>
    <row r="11" spans="2:19" x14ac:dyDescent="0.25">
      <c r="B11" s="27" t="s">
        <v>102</v>
      </c>
      <c r="C11" s="27">
        <f>+IF('C.Recicladores'!C11&gt;0,'C.Recicladores'!C11,IF('Datos Recicladores'!G53&gt;0,1,IF('Datos Recicladores'!G54&gt;0,2,IF('Datos Recicladores'!G55&gt;0,3,))))</f>
        <v>4</v>
      </c>
      <c r="D11" s="3"/>
      <c r="E11" t="s">
        <v>242</v>
      </c>
      <c r="F11" s="28">
        <f>'Datos Recicladores'!H28</f>
        <v>0.476190476190476</v>
      </c>
      <c r="H11" s="31">
        <v>0</v>
      </c>
      <c r="J11" s="3"/>
    </row>
    <row r="12" spans="2:19" x14ac:dyDescent="0.25">
      <c r="D12" s="3"/>
      <c r="E12" t="s">
        <v>241</v>
      </c>
      <c r="F12" s="28">
        <f>'Datos Recicladores'!H29</f>
        <v>0</v>
      </c>
      <c r="H12" s="31">
        <f>'Datos Recicladores'!P28</f>
        <v>2</v>
      </c>
      <c r="J12" s="3"/>
    </row>
    <row r="13" spans="2:19" x14ac:dyDescent="0.25">
      <c r="D13" s="3"/>
      <c r="E13" t="s">
        <v>243</v>
      </c>
      <c r="F13" s="28">
        <f>'Datos Recicladores'!H30</f>
        <v>0.33333333333333331</v>
      </c>
      <c r="H13" s="31">
        <f>'Datos Recicladores'!P29</f>
        <v>0.16666666666666666</v>
      </c>
      <c r="J13" s="3"/>
    </row>
    <row r="14" spans="2:19" x14ac:dyDescent="0.25">
      <c r="D14" s="3"/>
      <c r="E14" t="s">
        <v>244</v>
      </c>
      <c r="F14" s="28">
        <f>'Datos Recicladores'!H31</f>
        <v>0.33333333333333331</v>
      </c>
      <c r="H14" s="31">
        <f>'Datos Recicladores'!P30</f>
        <v>0.16666666666666666</v>
      </c>
      <c r="J14" s="3"/>
    </row>
    <row r="15" spans="2:19" x14ac:dyDescent="0.25">
      <c r="B15" s="27" t="s">
        <v>105</v>
      </c>
      <c r="C15" s="27" t="str">
        <f>+'Datos Recicladores'!G26</f>
        <v>Peso (Toneladas)</v>
      </c>
      <c r="D15" s="3"/>
      <c r="E15" s="10" t="s">
        <v>236</v>
      </c>
      <c r="J15" s="3"/>
    </row>
    <row r="16" spans="2:19" x14ac:dyDescent="0.25">
      <c r="B16" s="27" t="s">
        <v>467</v>
      </c>
      <c r="C16" s="27" t="str">
        <f>+'Datos Recicladores'!O26</f>
        <v>Volumen (m3)</v>
      </c>
      <c r="D16" s="3"/>
      <c r="E16" t="s">
        <v>245</v>
      </c>
      <c r="F16" s="27">
        <f>'Datos Recicladores'!H32</f>
        <v>1</v>
      </c>
      <c r="H16" s="31">
        <f>IF(C11&lt;4,0,'Datos Recicladores'!P31)</f>
        <v>1</v>
      </c>
      <c r="J16" s="3"/>
    </row>
    <row r="17" spans="2:10" x14ac:dyDescent="0.25">
      <c r="B17" s="27"/>
      <c r="C17" s="27"/>
      <c r="D17" s="3"/>
      <c r="E17" t="s">
        <v>246</v>
      </c>
      <c r="F17" s="27">
        <f>+IF(F7="Equipo de tracción manual",0,1)</f>
        <v>1</v>
      </c>
      <c r="H17" s="27"/>
      <c r="J17" s="3"/>
    </row>
    <row r="18" spans="2:10" x14ac:dyDescent="0.25">
      <c r="D18" s="3"/>
      <c r="E18" t="s">
        <v>350</v>
      </c>
      <c r="F18" s="201">
        <f>'Datos Recicladores'!H83*ROUNDUP(('C.RecicladoresRef'!F16*F24+'C.RecicladoresRef'!H16*H24)/20,0)</f>
        <v>0</v>
      </c>
      <c r="J18" s="3"/>
    </row>
    <row r="19" spans="2:10" x14ac:dyDescent="0.25">
      <c r="B19" s="27" t="s">
        <v>255</v>
      </c>
      <c r="C19" s="31">
        <f>+Cálculos!G14</f>
        <v>0</v>
      </c>
      <c r="D19" s="3"/>
      <c r="E19" t="s">
        <v>247</v>
      </c>
      <c r="F19" s="29">
        <f>(IF(C15="Peso (toneladas)",C20,C23)/F9)</f>
        <v>0</v>
      </c>
      <c r="H19" s="29">
        <f>+IFERROR(ROUNDUP(IF(C16="Peso (toneladas)",C20,C23)/H9,0),0)</f>
        <v>0</v>
      </c>
      <c r="J19" s="3"/>
    </row>
    <row r="20" spans="2:10" x14ac:dyDescent="0.25">
      <c r="B20" s="27" t="s">
        <v>256</v>
      </c>
      <c r="C20" s="31">
        <f>+Cálculos!G15</f>
        <v>0</v>
      </c>
      <c r="D20" s="3"/>
      <c r="E20" t="s">
        <v>248</v>
      </c>
      <c r="F20" s="622">
        <f>+'Datos Recicladores'!H82/'C.Recicladores'!F10</f>
        <v>7.0000000000000018</v>
      </c>
      <c r="H20" s="29">
        <f>'Datos Recicladores'!H82/'C.RecicladoresRef'!H10</f>
        <v>3.4285714285714288</v>
      </c>
      <c r="J20" s="3"/>
    </row>
    <row r="21" spans="2:10" x14ac:dyDescent="0.25">
      <c r="D21" s="3"/>
      <c r="E21" t="s">
        <v>249</v>
      </c>
      <c r="F21" s="29">
        <f>+ROUNDUP((F19/('Datos Recicladores'!H80))/('Datos Recicladores'!H81*'C.RecicladoresRef'!F20),0)</f>
        <v>0</v>
      </c>
      <c r="H21" s="29">
        <f>+ROUNDUP((H19/('Datos Recicladores'!H80))/('Datos Recicladores'!H81*'C.RecicladoresRef'!H20),0)</f>
        <v>0</v>
      </c>
      <c r="J21" s="3"/>
    </row>
    <row r="22" spans="2:10" x14ac:dyDescent="0.25">
      <c r="B22" s="27" t="s">
        <v>276</v>
      </c>
      <c r="C22" s="31">
        <f>+Cálculos!H14</f>
        <v>0</v>
      </c>
      <c r="D22" s="3"/>
      <c r="E22" t="s">
        <v>250</v>
      </c>
      <c r="F22" s="2">
        <f>ROUNDUP(F21*'Datos Recicladores'!H33,0)</f>
        <v>0</v>
      </c>
      <c r="H22" s="2">
        <f>+ROUNDUP(H21*'Datos Recicladores'!P32,0)</f>
        <v>0</v>
      </c>
      <c r="J22" s="3"/>
    </row>
    <row r="23" spans="2:10" x14ac:dyDescent="0.25">
      <c r="B23" s="27" t="s">
        <v>277</v>
      </c>
      <c r="C23" s="31">
        <f>+Cálculos!H15</f>
        <v>0</v>
      </c>
      <c r="D23" s="3"/>
      <c r="E23" s="10" t="s">
        <v>251</v>
      </c>
      <c r="F23" s="32">
        <f>+F22+F21</f>
        <v>0</v>
      </c>
      <c r="G23" s="10"/>
      <c r="H23" s="32">
        <f>+H22+H21</f>
        <v>0</v>
      </c>
      <c r="J23" s="3"/>
    </row>
    <row r="24" spans="2:10" x14ac:dyDescent="0.25">
      <c r="D24" s="3"/>
      <c r="E24" s="10" t="s">
        <v>252</v>
      </c>
      <c r="F24" s="32">
        <f>+F21*'Datos Recicladores'!H81</f>
        <v>0</v>
      </c>
      <c r="G24" s="10"/>
      <c r="H24" s="32">
        <f>+H21*'Datos Recicladores'!H81</f>
        <v>0</v>
      </c>
      <c r="J24" s="3"/>
    </row>
    <row r="25" spans="2:10" x14ac:dyDescent="0.25">
      <c r="B25" s="27" t="s">
        <v>96</v>
      </c>
      <c r="C25" s="27"/>
      <c r="D25" s="3"/>
      <c r="J25" s="3"/>
    </row>
    <row r="26" spans="2:10" x14ac:dyDescent="0.25">
      <c r="B26" s="27" t="str">
        <f>+'Datos Recicladores'!G35</f>
        <v>Gal/Km</v>
      </c>
      <c r="C26" s="27"/>
      <c r="D26" s="3"/>
      <c r="E26" s="10" t="s">
        <v>260</v>
      </c>
      <c r="F26" s="29">
        <f>+IF(F6="Combinación de Equipo de tracción manual con camión",0,IF('Datos Recicladores'!G37="Longitud (km)",'Datos Recicladores'!H39,'Datos Recicladores'!H39*'C.RecicladoresRef'!F12))</f>
        <v>0</v>
      </c>
      <c r="G26" s="29"/>
      <c r="H26" s="29">
        <f>+IF('Datos Recicladores'!O34="Longitud (km)",'Datos Recicladores'!P35,'Datos Recicladores'!P35*'C.RecicladoresRef'!H12)</f>
        <v>0.98571428571428577</v>
      </c>
      <c r="J26" s="3"/>
    </row>
    <row r="27" spans="2:10" x14ac:dyDescent="0.25">
      <c r="D27" s="3"/>
      <c r="E27" s="10" t="s">
        <v>261</v>
      </c>
      <c r="F27" s="29">
        <f>+IF('Datos Recicladores'!G37="Longitud (km)",'Datos Recicladores'!H38,'Datos Recicladores'!H38*'C.RecicladoresRef'!F11)</f>
        <v>19.999999999999993</v>
      </c>
      <c r="H27" s="27">
        <v>0</v>
      </c>
      <c r="J27" s="3"/>
    </row>
    <row r="28" spans="2:10" x14ac:dyDescent="0.25">
      <c r="D28" s="3"/>
      <c r="E28" s="10"/>
      <c r="F28" s="29"/>
      <c r="G28" s="29"/>
      <c r="J28" s="3"/>
    </row>
    <row r="29" spans="2:10" x14ac:dyDescent="0.25">
      <c r="B29" s="40" t="s">
        <v>262</v>
      </c>
      <c r="C29" s="40"/>
      <c r="D29" s="3"/>
      <c r="E29" s="10" t="s">
        <v>96</v>
      </c>
      <c r="J29" s="3"/>
    </row>
    <row r="30" spans="2:10" x14ac:dyDescent="0.25">
      <c r="B30" s="36" t="s">
        <v>85</v>
      </c>
      <c r="C30" s="37" t="s">
        <v>212</v>
      </c>
      <c r="D30" s="3"/>
      <c r="E30" s="34" t="s">
        <v>259</v>
      </c>
      <c r="F30" s="29">
        <f>+SUM(F31:F32)</f>
        <v>0</v>
      </c>
      <c r="G30" s="29"/>
      <c r="J30" s="3"/>
    </row>
    <row r="31" spans="2:10" x14ac:dyDescent="0.25">
      <c r="B31" s="31">
        <v>1.3</v>
      </c>
      <c r="C31" s="31">
        <v>1.4</v>
      </c>
      <c r="D31" s="3"/>
      <c r="E31" s="35" t="s">
        <v>263</v>
      </c>
      <c r="F31" s="29">
        <f>+IF(F7="Equipo de tracción manual",0,IF('Datos Recicladores'!G35="Gal/km",'Datos Recicladores'!H36*'C.RecicladoresRef'!F26*'C.RecicladoresRef'!F19,0.142857142857143*F12*F19*'Datos Recicladores'!H36)*HLOOKUP(F7,'C.RecicladoresRef'!B30:C31,2,0))</f>
        <v>0</v>
      </c>
      <c r="G31" s="29"/>
      <c r="H31" s="27">
        <v>0</v>
      </c>
      <c r="J31" s="3"/>
    </row>
    <row r="32" spans="2:10" x14ac:dyDescent="0.25">
      <c r="D32" s="3"/>
      <c r="E32" s="35" t="s">
        <v>264</v>
      </c>
      <c r="F32" s="29">
        <f>+IF(F7="Equipo de tracción manual",0,IF('Datos Recicladores'!G35="Gal/km",'Datos Recicladores'!H36*'C.RecicladoresRef'!F27*'C.RecicladoresRef'!F19,F11*F19*'Datos Recicladores'!H36))</f>
        <v>0</v>
      </c>
      <c r="H32" s="27">
        <v>0</v>
      </c>
      <c r="J32" s="3"/>
    </row>
    <row r="33" spans="2:19" x14ac:dyDescent="0.25">
      <c r="B33" s="27" t="s">
        <v>280</v>
      </c>
      <c r="C33" s="42">
        <f>+IF('Datos Recicladores'!M262="",'Datos Recicladores'!N262,'Datos Recicladores'!M262)</f>
        <v>0.127</v>
      </c>
      <c r="D33" s="3"/>
    </row>
    <row r="34" spans="2:19" x14ac:dyDescent="0.25">
      <c r="B34" s="27" t="s">
        <v>285</v>
      </c>
      <c r="C34" s="43">
        <f>(1+C33)^(1/12)-1</f>
        <v>1.0013068206861098E-2</v>
      </c>
      <c r="D34" s="3"/>
    </row>
    <row r="35" spans="2:19" ht="21" x14ac:dyDescent="0.35">
      <c r="D35" s="3"/>
      <c r="E35" s="1203" t="s">
        <v>382</v>
      </c>
      <c r="F35" s="1203"/>
      <c r="G35" s="1203"/>
      <c r="H35" s="1203"/>
      <c r="I35" s="1203"/>
      <c r="J35" s="1203"/>
      <c r="K35" s="1203"/>
      <c r="M35" s="1204" t="s">
        <v>289</v>
      </c>
      <c r="N35" s="1205"/>
      <c r="O35" s="1205"/>
      <c r="P35" s="1205"/>
      <c r="Q35" s="1205"/>
      <c r="R35" s="1205"/>
    </row>
    <row r="36" spans="2:19" x14ac:dyDescent="0.25">
      <c r="B36" s="27" t="s">
        <v>473</v>
      </c>
      <c r="C36" s="27"/>
      <c r="D36" s="3"/>
      <c r="E36" s="1193" t="str">
        <f>+E85</f>
        <v>Costos de inversión y preinversión</v>
      </c>
      <c r="F36" s="1193"/>
      <c r="G36" s="1193"/>
      <c r="H36" s="1193"/>
      <c r="I36" s="1193"/>
      <c r="J36" s="1193"/>
      <c r="K36" s="1193"/>
      <c r="L36" s="1193"/>
      <c r="M36" s="1193"/>
      <c r="N36" s="1193"/>
      <c r="O36" s="1193"/>
      <c r="P36" s="1193"/>
      <c r="Q36" s="1193"/>
      <c r="R36" s="1193"/>
      <c r="S36" s="1193"/>
    </row>
    <row r="37" spans="2:19" x14ac:dyDescent="0.25">
      <c r="B37" s="27" t="s">
        <v>125</v>
      </c>
      <c r="C37" s="27" t="b">
        <f>+'C.Recicladores'!C37</f>
        <v>0</v>
      </c>
      <c r="D37" s="3"/>
    </row>
    <row r="38" spans="2:19" x14ac:dyDescent="0.25">
      <c r="B38" s="27" t="s">
        <v>424</v>
      </c>
      <c r="C38" s="27" t="b">
        <f>+'C.Recicladores'!C38</f>
        <v>0</v>
      </c>
      <c r="D38" s="3"/>
      <c r="N38" s="46" t="s">
        <v>288</v>
      </c>
      <c r="O38" s="46"/>
      <c r="P38" s="46"/>
      <c r="Q38" s="46"/>
    </row>
    <row r="39" spans="2:19" x14ac:dyDescent="0.25">
      <c r="B39" s="27" t="s">
        <v>474</v>
      </c>
      <c r="C39" s="27" t="b">
        <f>+'C.Recicladores'!C39</f>
        <v>1</v>
      </c>
      <c r="D39" s="3"/>
      <c r="F39" s="10" t="s">
        <v>110</v>
      </c>
      <c r="G39" s="10" t="s">
        <v>267</v>
      </c>
      <c r="H39" s="10" t="s">
        <v>268</v>
      </c>
      <c r="I39" s="46" t="s">
        <v>272</v>
      </c>
      <c r="J39" s="46"/>
      <c r="K39" s="10" t="s">
        <v>299</v>
      </c>
      <c r="M39" s="141" t="s">
        <v>469</v>
      </c>
      <c r="N39" s="147" t="s">
        <v>424</v>
      </c>
      <c r="O39" s="147" t="s">
        <v>137</v>
      </c>
      <c r="Q39" s="10" t="s">
        <v>125</v>
      </c>
      <c r="R39" s="10" t="s">
        <v>424</v>
      </c>
      <c r="S39" s="10" t="s">
        <v>137</v>
      </c>
    </row>
    <row r="40" spans="2:19" x14ac:dyDescent="0.25">
      <c r="D40" s="3"/>
      <c r="E40" t="s">
        <v>85</v>
      </c>
      <c r="F40">
        <f>+IF(F6="Equipo de tracción manual",0,IF(OR(F7="vehículo motorizado mediano",F6="combinación de Equipo de tracción manual con camión"),0,F23))</f>
        <v>0</v>
      </c>
      <c r="G40" s="2">
        <f>'Datos Recicladores'!K66</f>
        <v>7290.2503836494298</v>
      </c>
      <c r="H40" s="2">
        <f>+G40*F40</f>
        <v>0</v>
      </c>
      <c r="I40" s="1202">
        <f>'Datos Recicladores'!$H$34</f>
        <v>12</v>
      </c>
      <c r="J40" s="1202"/>
      <c r="K40" s="2">
        <f>+IF(F40&gt;0,PMT($C$34,I40*12,-H40),0)</f>
        <v>0</v>
      </c>
      <c r="M40" t="b">
        <f>+'C.Recicladores'!M40</f>
        <v>1</v>
      </c>
      <c r="N40" t="b">
        <f>+'C.Recicladores'!N40</f>
        <v>0</v>
      </c>
      <c r="O40" t="b">
        <f>+'C.Recicladores'!O40</f>
        <v>0</v>
      </c>
      <c r="Q40" s="2">
        <f>+IF(M40=TRUE,K40,0)</f>
        <v>0</v>
      </c>
      <c r="R40" s="2">
        <f>+IF(N40=TRUE,K40,0)</f>
        <v>0</v>
      </c>
      <c r="S40" s="2">
        <f>+IF(O40=TRUE,K40,0)</f>
        <v>0</v>
      </c>
    </row>
    <row r="41" spans="2:19" x14ac:dyDescent="0.25">
      <c r="D41" s="3"/>
      <c r="E41" t="s">
        <v>212</v>
      </c>
      <c r="F41">
        <f>+IF(M13="",IF(OR(F7="vehículo motorizado mediano",F6="combinación de Equipo de tracción manual con camión"),F23,0),M13)</f>
        <v>0</v>
      </c>
      <c r="G41" s="2">
        <f>'Datos Recicladores'!K67</f>
        <v>29161.001534597701</v>
      </c>
      <c r="H41" s="2">
        <f>+G41*F41</f>
        <v>0</v>
      </c>
      <c r="I41" s="1202">
        <f>'Datos Recicladores'!$H$34</f>
        <v>12</v>
      </c>
      <c r="J41" s="1202"/>
      <c r="K41" s="2">
        <f>+IF(F41&gt;0,PMT($C$34,I41*12,-H41),0)</f>
        <v>0</v>
      </c>
      <c r="M41" t="b">
        <f>+'C.Recicladores'!M41</f>
        <v>1</v>
      </c>
      <c r="N41" t="b">
        <f>+'C.Recicladores'!N41</f>
        <v>0</v>
      </c>
      <c r="O41" t="b">
        <f>+'C.Recicladores'!O41</f>
        <v>0</v>
      </c>
      <c r="Q41" s="2">
        <f>+IF(M41=TRUE,K41,0)</f>
        <v>0</v>
      </c>
      <c r="R41" s="2">
        <f>+IF(N41=TRUE,K41,0)</f>
        <v>0</v>
      </c>
      <c r="S41" s="2">
        <f>+IF(O41=TRUE,K41,0)</f>
        <v>0</v>
      </c>
    </row>
    <row r="42" spans="2:19" x14ac:dyDescent="0.25">
      <c r="D42" s="3"/>
      <c r="E42" t="s">
        <v>433</v>
      </c>
      <c r="F42">
        <f>IF(F7="Equipo de tracción manual",F23,H23)</f>
        <v>0</v>
      </c>
      <c r="G42" s="2">
        <f>'Datos Recicladores'!K68</f>
        <v>364.51251918247101</v>
      </c>
      <c r="H42" s="2">
        <f>+G42*F42</f>
        <v>0</v>
      </c>
      <c r="I42" s="1202">
        <f>+IF(AND('Datos Recicladores'!$O$33="",'Datos Recicladores'!K55=""),'Datos Recicladores'!$P$33,IF('Datos Recicladores'!K55="",'Datos Recicladores'!$O$33,'Datos Recicladores'!K55))</f>
        <v>2</v>
      </c>
      <c r="J42" s="1202"/>
      <c r="K42" s="2">
        <f>+IF(F42&gt;0,PMT($C$34,I42*12,-H42),0)</f>
        <v>0</v>
      </c>
      <c r="M42" t="b">
        <f>+'C.Recicladores'!M42</f>
        <v>1</v>
      </c>
      <c r="N42" t="b">
        <f>+'C.Recicladores'!N42</f>
        <v>0</v>
      </c>
      <c r="O42" t="b">
        <f>+'C.Recicladores'!O42</f>
        <v>0</v>
      </c>
      <c r="Q42" s="2">
        <f>+IF(M42=TRUE,K42,0)</f>
        <v>0</v>
      </c>
      <c r="R42" s="2">
        <f>+IF(N42=TRUE,K42,0)</f>
        <v>0</v>
      </c>
      <c r="S42" s="2">
        <f>+IF(O42=TRUE,K42,0)</f>
        <v>0</v>
      </c>
    </row>
    <row r="43" spans="2:19" x14ac:dyDescent="0.25">
      <c r="D43" s="3"/>
      <c r="E43" t="s">
        <v>153</v>
      </c>
      <c r="F43">
        <f>'Datos Recicladores'!G40</f>
        <v>0</v>
      </c>
      <c r="G43" s="2">
        <f>'Datos Recicladores'!K69</f>
        <v>320</v>
      </c>
      <c r="H43" s="2">
        <f>+G43*F43</f>
        <v>0</v>
      </c>
      <c r="I43" s="1202">
        <v>6</v>
      </c>
      <c r="J43" s="1202"/>
      <c r="K43" s="2">
        <f>+IF(F43&gt;0,PMT($C$34,I43*12,-H43),0)</f>
        <v>0</v>
      </c>
      <c r="M43" t="b">
        <f>+'C.Recicladores'!M43</f>
        <v>1</v>
      </c>
      <c r="N43" t="b">
        <f>+'C.Recicladores'!N43</f>
        <v>0</v>
      </c>
      <c r="O43" t="b">
        <f>+'C.Recicladores'!O43</f>
        <v>0</v>
      </c>
      <c r="Q43" s="2">
        <f>+IF(M43=TRUE,K43,0)</f>
        <v>0</v>
      </c>
      <c r="R43" s="2">
        <f>+IF(N43=TRUE,K43,0)</f>
        <v>0</v>
      </c>
      <c r="S43" s="2">
        <f>+IF(O43=TRUE,K43,0)</f>
        <v>0</v>
      </c>
    </row>
    <row r="44" spans="2:19" x14ac:dyDescent="0.25">
      <c r="D44" s="3"/>
      <c r="E44" s="10" t="s">
        <v>9</v>
      </c>
      <c r="F44" s="10"/>
      <c r="G44" s="10"/>
      <c r="H44" s="32">
        <f>+SUM(H40:H43)</f>
        <v>0</v>
      </c>
      <c r="I44" s="10"/>
      <c r="J44" s="10"/>
      <c r="K44" s="32">
        <f>+SUM(K40:K43)</f>
        <v>0</v>
      </c>
      <c r="P44" s="10" t="s">
        <v>9</v>
      </c>
      <c r="Q44" s="32">
        <f>+SUM(Q40:Q43)</f>
        <v>0</v>
      </c>
      <c r="R44" s="32">
        <f>+SUM(R40:R43)</f>
        <v>0</v>
      </c>
      <c r="S44" s="32">
        <f>+SUM(S40:S43)</f>
        <v>0</v>
      </c>
    </row>
    <row r="45" spans="2:19" x14ac:dyDescent="0.25">
      <c r="D45" s="3"/>
    </row>
    <row r="46" spans="2:19" x14ac:dyDescent="0.25">
      <c r="D46" s="3"/>
    </row>
    <row r="47" spans="2:19" x14ac:dyDescent="0.25">
      <c r="D47" s="3"/>
      <c r="E47" s="1193" t="str">
        <f>+E87</f>
        <v>Costos variables</v>
      </c>
      <c r="F47" s="1193"/>
      <c r="G47" s="1193"/>
      <c r="H47" s="1193"/>
      <c r="I47" s="1193"/>
      <c r="J47" s="1193"/>
      <c r="K47" s="1193"/>
      <c r="L47" s="1193"/>
      <c r="M47" s="1193"/>
      <c r="N47" s="1193"/>
      <c r="O47" s="1193"/>
      <c r="P47" s="1193"/>
      <c r="Q47" s="1193"/>
      <c r="R47" s="1193"/>
      <c r="S47" s="1193"/>
    </row>
    <row r="48" spans="2:19" x14ac:dyDescent="0.25">
      <c r="D48" s="3"/>
    </row>
    <row r="49" spans="4:19" x14ac:dyDescent="0.25">
      <c r="D49" s="3"/>
      <c r="E49" s="10" t="s">
        <v>265</v>
      </c>
      <c r="Q49" s="10"/>
      <c r="R49" s="10"/>
    </row>
    <row r="50" spans="4:19" x14ac:dyDescent="0.25">
      <c r="D50" s="3"/>
      <c r="E50" t="s">
        <v>470</v>
      </c>
      <c r="F50" s="437">
        <f>SUM(F31:F32)*'Datos Recicladores'!H113</f>
        <v>0</v>
      </c>
      <c r="M50" s="141" t="s">
        <v>469</v>
      </c>
      <c r="N50" s="147" t="s">
        <v>424</v>
      </c>
      <c r="O50" s="147" t="s">
        <v>137</v>
      </c>
      <c r="Q50" s="10" t="s">
        <v>125</v>
      </c>
      <c r="R50" s="10" t="s">
        <v>424</v>
      </c>
      <c r="S50" s="10" t="s">
        <v>137</v>
      </c>
    </row>
    <row r="51" spans="4:19" x14ac:dyDescent="0.25">
      <c r="D51" s="3"/>
      <c r="M51" t="b">
        <f>+'C.Recicladores'!M51</f>
        <v>1</v>
      </c>
      <c r="N51" t="b">
        <f>+'C.Recicladores'!N51</f>
        <v>0</v>
      </c>
      <c r="O51" t="b">
        <f>+'C.Recicladores'!O51</f>
        <v>0</v>
      </c>
      <c r="P51" t="b">
        <f>+'C.Recicladores'!P51</f>
        <v>0</v>
      </c>
      <c r="Q51" s="2">
        <f>+IF(M51=TRUE,$F$50,0)</f>
        <v>0</v>
      </c>
      <c r="R51" s="2">
        <f>+IF(N51=TRUE,$F$50,0)</f>
        <v>0</v>
      </c>
      <c r="S51" s="2">
        <f>+IF(O51=TRUE,$F$50,0)</f>
        <v>0</v>
      </c>
    </row>
    <row r="52" spans="4:19" x14ac:dyDescent="0.25">
      <c r="D52" s="3"/>
      <c r="E52" s="10" t="s">
        <v>238</v>
      </c>
      <c r="F52" s="29"/>
      <c r="M52" t="b">
        <f>+'C.Recicladores'!M52</f>
        <v>1</v>
      </c>
      <c r="N52" t="b">
        <f>+'C.Recicladores'!N52</f>
        <v>0</v>
      </c>
      <c r="O52" t="b">
        <f>+'C.Recicladores'!O52</f>
        <v>0</v>
      </c>
      <c r="P52" t="b">
        <f>+'C.Recicladores'!P52</f>
        <v>0</v>
      </c>
      <c r="Q52" s="2">
        <f>+IF(M52=TRUE,$F$53,0)</f>
        <v>0</v>
      </c>
      <c r="R52" s="2">
        <f>+IF(N52=TRUE,$F$53,0)</f>
        <v>0</v>
      </c>
      <c r="S52" s="2">
        <f>+IF(O52=TRUE,$F$53,0)</f>
        <v>0</v>
      </c>
    </row>
    <row r="53" spans="4:19" x14ac:dyDescent="0.25">
      <c r="D53" s="3"/>
      <c r="E53" t="s">
        <v>460</v>
      </c>
      <c r="F53" s="29">
        <f>'Datos Recicladores'!J114*(F40+F41)</f>
        <v>0</v>
      </c>
      <c r="M53" t="b">
        <f>+'C.Recicladores'!M53</f>
        <v>1</v>
      </c>
      <c r="N53" t="b">
        <f>+'C.Recicladores'!N53</f>
        <v>0</v>
      </c>
      <c r="O53" t="b">
        <f>+'C.Recicladores'!O53</f>
        <v>0</v>
      </c>
      <c r="P53" t="b">
        <f>+'C.Recicladores'!P53</f>
        <v>0</v>
      </c>
      <c r="Q53" s="2">
        <f>+IF(M53=TRUE,$F$50,0)</f>
        <v>0</v>
      </c>
      <c r="R53" s="2">
        <f>+IF(N53=TRUE,$F$54,0)</f>
        <v>0</v>
      </c>
      <c r="S53" s="2">
        <f>+IF(O53=TRUE,$F$54,0)</f>
        <v>0</v>
      </c>
    </row>
    <row r="54" spans="4:19" x14ac:dyDescent="0.25">
      <c r="D54" s="3"/>
      <c r="E54" t="s">
        <v>461</v>
      </c>
      <c r="F54" s="29">
        <f>+IF(C11=C8,'Datos Recicladores'!J114,IF('C.RecicladoresRef'!C11='C.RecicladoresRef'!C9,'Datos Recicladores'!J118,0))*'C.RecicladoresRef'!F42</f>
        <v>0</v>
      </c>
      <c r="G54" s="2"/>
      <c r="O54" t="s">
        <v>9</v>
      </c>
      <c r="P54" s="32"/>
      <c r="Q54" s="32">
        <f>+SUM(Q51:Q53)</f>
        <v>0</v>
      </c>
      <c r="R54" s="32">
        <f>+SUM(R51:R53)</f>
        <v>0</v>
      </c>
      <c r="S54" s="32">
        <f>+SUM(S51:S53)</f>
        <v>0</v>
      </c>
    </row>
    <row r="55" spans="4:19" x14ac:dyDescent="0.25">
      <c r="D55" s="3"/>
      <c r="E55" t="s">
        <v>409</v>
      </c>
      <c r="F55" s="29">
        <f>+C139</f>
        <v>0</v>
      </c>
    </row>
    <row r="56" spans="4:19" x14ac:dyDescent="0.25">
      <c r="D56" s="3"/>
    </row>
    <row r="57" spans="4:19" x14ac:dyDescent="0.25">
      <c r="D57" s="3"/>
      <c r="E57" s="1193" t="str">
        <f>+E88</f>
        <v>Costos de personal</v>
      </c>
      <c r="F57" s="1193"/>
      <c r="G57" s="1193"/>
      <c r="H57" s="1193"/>
      <c r="I57" s="1193"/>
      <c r="J57" s="1193"/>
      <c r="K57" s="1193"/>
      <c r="L57" s="1193"/>
      <c r="M57" s="1193"/>
      <c r="N57" s="1193"/>
      <c r="O57" s="1193"/>
      <c r="P57" s="1193"/>
      <c r="Q57" s="1193"/>
      <c r="R57" s="1193"/>
      <c r="S57" s="1193"/>
    </row>
    <row r="58" spans="4:19" x14ac:dyDescent="0.25">
      <c r="D58" s="3"/>
    </row>
    <row r="59" spans="4:19" ht="30" customHeight="1" x14ac:dyDescent="0.25">
      <c r="D59" s="3"/>
      <c r="E59" t="s">
        <v>136</v>
      </c>
      <c r="F59" s="149" t="str">
        <f>+L61</f>
        <v>Operario de recolección del Equipo de tracción manual</v>
      </c>
      <c r="G59" s="139" t="str">
        <f>+L62</f>
        <v>Operario de recolección del vehículo motorizado</v>
      </c>
      <c r="H59" s="140" t="str">
        <f>+L63</f>
        <v>Conductor</v>
      </c>
      <c r="I59" s="146" t="str">
        <f>+L64</f>
        <v>Supervisor</v>
      </c>
      <c r="K59" s="140"/>
    </row>
    <row r="60" spans="4:19" x14ac:dyDescent="0.25">
      <c r="D60" s="3"/>
      <c r="E60" t="s">
        <v>128</v>
      </c>
      <c r="F60" s="47">
        <f>+'Datos Recicladores'!J88</f>
        <v>0</v>
      </c>
      <c r="G60" s="137">
        <f>+'Datos Recicladores'!M88</f>
        <v>0</v>
      </c>
      <c r="H60" s="137">
        <f>+'Datos Recicladores'!N88</f>
        <v>0</v>
      </c>
      <c r="I60" s="48">
        <f>+'Datos Recicladores'!O88</f>
        <v>0</v>
      </c>
      <c r="M60" s="141" t="s">
        <v>469</v>
      </c>
      <c r="N60" s="147" t="s">
        <v>424</v>
      </c>
      <c r="O60" s="147" t="s">
        <v>137</v>
      </c>
      <c r="Q60" s="10" t="s">
        <v>125</v>
      </c>
      <c r="R60" s="10" t="s">
        <v>424</v>
      </c>
      <c r="S60" s="10" t="s">
        <v>137</v>
      </c>
    </row>
    <row r="61" spans="4:19" x14ac:dyDescent="0.25">
      <c r="D61" s="3"/>
      <c r="E61" t="s">
        <v>129</v>
      </c>
      <c r="F61" s="47">
        <f>+'Datos Recicladores'!J89</f>
        <v>0</v>
      </c>
      <c r="G61" s="137">
        <f>+'Datos Recicladores'!M89</f>
        <v>0</v>
      </c>
      <c r="H61" s="137">
        <f>+'Datos Recicladores'!N89</f>
        <v>0</v>
      </c>
      <c r="I61" s="48">
        <f>+'Datos Recicladores'!O89</f>
        <v>0</v>
      </c>
      <c r="L61" s="52" t="s">
        <v>455</v>
      </c>
      <c r="M61" t="b">
        <f>+'C.Recicladores'!M61</f>
        <v>1</v>
      </c>
      <c r="N61" t="b">
        <f>+'C.Recicladores'!N61</f>
        <v>0</v>
      </c>
      <c r="O61" t="b">
        <f>+'C.Recicladores'!O61</f>
        <v>0</v>
      </c>
      <c r="Q61" s="63">
        <f>+IF(M61=TRUE,F68,0)</f>
        <v>0</v>
      </c>
      <c r="R61" s="2">
        <f>+IF(N61=TRUE,F68,0)</f>
        <v>0</v>
      </c>
      <c r="S61" s="2">
        <f>+IF(O61=TRUE,F68,0)</f>
        <v>0</v>
      </c>
    </row>
    <row r="62" spans="4:19" x14ac:dyDescent="0.25">
      <c r="D62" s="3"/>
      <c r="E62" t="s">
        <v>130</v>
      </c>
      <c r="F62" s="49">
        <f>+F60*'Datos Recicladores'!J90</f>
        <v>0</v>
      </c>
      <c r="G62" s="138">
        <f>+$G$60*'Datos Recicladores'!M90</f>
        <v>0</v>
      </c>
      <c r="H62" s="138">
        <f>+$H$60*'Datos Recicladores'!N90</f>
        <v>0</v>
      </c>
      <c r="I62" s="8">
        <f>+$I$60*'Datos Recicladores'!O90</f>
        <v>0</v>
      </c>
      <c r="L62" s="52" t="s">
        <v>140</v>
      </c>
      <c r="M62" t="b">
        <f>+'C.Recicladores'!M62</f>
        <v>1</v>
      </c>
      <c r="N62" t="b">
        <f>+'C.Recicladores'!N62</f>
        <v>0</v>
      </c>
      <c r="O62" t="b">
        <f>+'C.Recicladores'!O62</f>
        <v>0</v>
      </c>
      <c r="Q62" s="63">
        <f>+IF(M62=TRUE,G68,0)</f>
        <v>0</v>
      </c>
      <c r="R62" s="2">
        <f>+IF(N62=TRUE,G68,0)</f>
        <v>0</v>
      </c>
      <c r="S62" s="2">
        <f>+IF(O62=TRUE,G68,0)</f>
        <v>0</v>
      </c>
    </row>
    <row r="63" spans="4:19" x14ac:dyDescent="0.25">
      <c r="D63" s="3"/>
      <c r="E63" t="s">
        <v>131</v>
      </c>
      <c r="F63" s="49">
        <f>+$F$60*'Datos Recicladores'!J91</f>
        <v>0</v>
      </c>
      <c r="G63" s="138">
        <f>+$G$60*'Datos Recicladores'!M91</f>
        <v>0</v>
      </c>
      <c r="H63" s="138">
        <f>+$H$60*'Datos Recicladores'!N91</f>
        <v>0</v>
      </c>
      <c r="I63" s="8">
        <f>+$I$60*'Datos Recicladores'!O91</f>
        <v>0</v>
      </c>
      <c r="L63" s="52" t="s">
        <v>134</v>
      </c>
      <c r="M63" t="b">
        <f>+'C.Recicladores'!M63</f>
        <v>1</v>
      </c>
      <c r="N63" t="b">
        <f>+'C.Recicladores'!N63</f>
        <v>0</v>
      </c>
      <c r="O63" t="b">
        <f>+'C.Recicladores'!O63</f>
        <v>0</v>
      </c>
      <c r="Q63" s="63">
        <f>+IF(M63=TRUE,H68,0)</f>
        <v>0</v>
      </c>
      <c r="R63" s="2">
        <f>+IF(N63=TRUE,H68,0)</f>
        <v>0</v>
      </c>
      <c r="S63" s="2">
        <f>+IF(O62=TRUE,H68,0)</f>
        <v>0</v>
      </c>
    </row>
    <row r="64" spans="4:19" x14ac:dyDescent="0.25">
      <c r="D64" s="3"/>
      <c r="E64" t="s">
        <v>132</v>
      </c>
      <c r="F64" s="49">
        <f>+$F$60*'Datos Recicladores'!J92</f>
        <v>0</v>
      </c>
      <c r="G64" s="138">
        <f>+$G$60*'Datos Recicladores'!M92</f>
        <v>0</v>
      </c>
      <c r="H64" s="138">
        <f>+$H$60*'Datos Recicladores'!N92</f>
        <v>0</v>
      </c>
      <c r="I64" s="8">
        <f>+$I$60*'Datos Recicladores'!O92</f>
        <v>0</v>
      </c>
      <c r="L64" s="52" t="s">
        <v>159</v>
      </c>
      <c r="M64" t="b">
        <f>+'C.Recicladores'!M64</f>
        <v>1</v>
      </c>
      <c r="N64" t="b">
        <f>+'C.Recicladores'!N64</f>
        <v>0</v>
      </c>
      <c r="O64" t="b">
        <f>+'C.Recicladores'!O64</f>
        <v>0</v>
      </c>
      <c r="Q64" s="63">
        <f>+IF(M64=TRUE,I68,0)</f>
        <v>0</v>
      </c>
      <c r="R64" s="2">
        <f>+IF(N64=TRUE,I68,0)</f>
        <v>0</v>
      </c>
      <c r="S64" s="2">
        <f>+IF(O62=TRUE,I68,0)</f>
        <v>0</v>
      </c>
    </row>
    <row r="65" spans="5:19" x14ac:dyDescent="0.25">
      <c r="E65" t="s">
        <v>133</v>
      </c>
      <c r="F65" s="49">
        <f>+$F$60*'Datos Recicladores'!J93</f>
        <v>0</v>
      </c>
      <c r="G65" s="138">
        <f>+$G$60*'Datos Recicladores'!M93</f>
        <v>0</v>
      </c>
      <c r="H65" s="138">
        <f>+$H$60*'Datos Recicladores'!N93</f>
        <v>0</v>
      </c>
      <c r="I65" s="8">
        <f>+$I$60*'Datos Recicladores'!O93</f>
        <v>0</v>
      </c>
      <c r="P65" s="10" t="s">
        <v>9</v>
      </c>
      <c r="Q65" s="32">
        <f>+SUM(Q61:Q64)</f>
        <v>0</v>
      </c>
      <c r="R65" s="32">
        <f>+SUM(R61:R64)</f>
        <v>0</v>
      </c>
      <c r="S65" s="32">
        <f>+SUM(S61:S64)</f>
        <v>0</v>
      </c>
    </row>
    <row r="66" spans="5:19" x14ac:dyDescent="0.25">
      <c r="E66" t="s">
        <v>135</v>
      </c>
      <c r="F66" s="47">
        <f>+'Datos Recicladores'!J94</f>
        <v>0</v>
      </c>
      <c r="G66" s="137">
        <f>+'Datos Recicladores'!M94</f>
        <v>0</v>
      </c>
      <c r="H66" s="137">
        <f>+'Datos Recicladores'!N94</f>
        <v>0</v>
      </c>
      <c r="I66" s="48">
        <f>+'Datos Recicladores'!O94</f>
        <v>0</v>
      </c>
    </row>
    <row r="67" spans="5:19" x14ac:dyDescent="0.25">
      <c r="E67" s="10" t="s">
        <v>9</v>
      </c>
      <c r="F67" s="49">
        <f>+SUM(F60:F66)</f>
        <v>0</v>
      </c>
      <c r="G67" s="138">
        <f>+SUM(G60:I66)</f>
        <v>0</v>
      </c>
      <c r="H67" s="138">
        <f>+SUM(H60:K66)</f>
        <v>0</v>
      </c>
      <c r="I67" s="8">
        <f>+SUM(I60:I66)</f>
        <v>0</v>
      </c>
    </row>
    <row r="68" spans="5:19" x14ac:dyDescent="0.25">
      <c r="E68" s="10" t="s">
        <v>351</v>
      </c>
      <c r="F68" s="49">
        <f>+H16*H24*F67</f>
        <v>0</v>
      </c>
      <c r="G68" s="138">
        <f>F16*F24*G67</f>
        <v>0</v>
      </c>
      <c r="H68" s="138">
        <f>F17*F24*H67</f>
        <v>0</v>
      </c>
      <c r="I68" s="8">
        <f>+I67*F18</f>
        <v>0</v>
      </c>
    </row>
    <row r="71" spans="5:19" x14ac:dyDescent="0.25">
      <c r="E71" s="1193" t="str">
        <f>+E86</f>
        <v>Costos fijos</v>
      </c>
      <c r="F71" s="1193"/>
      <c r="G71" s="1193"/>
      <c r="H71" s="1193"/>
      <c r="I71" s="1193"/>
      <c r="J71" s="1193"/>
      <c r="K71" s="1193"/>
      <c r="L71" s="1193"/>
      <c r="M71" s="1193"/>
      <c r="N71" s="1193"/>
      <c r="O71" s="1193"/>
      <c r="P71" s="1193"/>
      <c r="Q71" s="1193"/>
      <c r="R71" s="1193"/>
      <c r="S71" s="1193"/>
    </row>
    <row r="73" spans="5:19" x14ac:dyDescent="0.25">
      <c r="E73" t="s">
        <v>83</v>
      </c>
      <c r="G73" t="s">
        <v>139</v>
      </c>
      <c r="L73" t="s">
        <v>83</v>
      </c>
      <c r="M73" s="34" t="s">
        <v>469</v>
      </c>
      <c r="N73" t="s">
        <v>424</v>
      </c>
      <c r="O73" t="s">
        <v>137</v>
      </c>
      <c r="Q73" s="10" t="s">
        <v>125</v>
      </c>
      <c r="R73" s="10" t="s">
        <v>424</v>
      </c>
      <c r="S73" s="10" t="s">
        <v>137</v>
      </c>
    </row>
    <row r="74" spans="5:19" x14ac:dyDescent="0.25">
      <c r="E74" t="s">
        <v>85</v>
      </c>
      <c r="G74" s="29">
        <f>'Datos Recicladores'!J127*F40</f>
        <v>0</v>
      </c>
      <c r="L74" t="s">
        <v>85</v>
      </c>
      <c r="M74" t="b">
        <f>+'C.Recicladores'!M74</f>
        <v>1</v>
      </c>
      <c r="N74" t="b">
        <f>+'C.Recicladores'!N74</f>
        <v>0</v>
      </c>
      <c r="O74" t="b">
        <f>+'C.Recicladores'!O74</f>
        <v>0</v>
      </c>
      <c r="Q74">
        <f>+IF(M74=TRUE,$G74,0)</f>
        <v>0</v>
      </c>
      <c r="R74" s="2">
        <f>+IF(N74=TRUE,$G74,0)</f>
        <v>0</v>
      </c>
      <c r="S74" s="2">
        <f>+IF(O74=TRUE,$G74,0)</f>
        <v>0</v>
      </c>
    </row>
    <row r="75" spans="5:19" x14ac:dyDescent="0.25">
      <c r="E75" t="s">
        <v>212</v>
      </c>
      <c r="G75" s="29">
        <f>'Datos Recicladores'!J128*F41</f>
        <v>0</v>
      </c>
      <c r="L75" t="s">
        <v>212</v>
      </c>
      <c r="M75" t="b">
        <f>+'C.Recicladores'!M75</f>
        <v>1</v>
      </c>
      <c r="N75" t="b">
        <f>+'C.Recicladores'!N75</f>
        <v>0</v>
      </c>
      <c r="O75" t="b">
        <f>+'C.Recicladores'!O75</f>
        <v>0</v>
      </c>
      <c r="Q75">
        <f t="shared" ref="Q75:S77" si="0">+IF(M75=TRUE,$G75,0)</f>
        <v>0</v>
      </c>
      <c r="R75" s="2">
        <f t="shared" si="0"/>
        <v>0</v>
      </c>
      <c r="S75" s="2">
        <f t="shared" si="0"/>
        <v>0</v>
      </c>
    </row>
    <row r="76" spans="5:19" x14ac:dyDescent="0.25">
      <c r="E76" t="s">
        <v>433</v>
      </c>
      <c r="G76" s="29">
        <f>'Datos Recicladores'!J129*F42</f>
        <v>0</v>
      </c>
      <c r="L76" t="s">
        <v>433</v>
      </c>
      <c r="M76" t="b">
        <f>+'C.Recicladores'!M76</f>
        <v>1</v>
      </c>
      <c r="N76" t="b">
        <f>+'C.Recicladores'!N76</f>
        <v>0</v>
      </c>
      <c r="O76" t="b">
        <f>+'C.Recicladores'!O76</f>
        <v>0</v>
      </c>
      <c r="Q76">
        <f t="shared" si="0"/>
        <v>0</v>
      </c>
      <c r="R76" s="2">
        <f t="shared" si="0"/>
        <v>0</v>
      </c>
      <c r="S76" s="2">
        <f t="shared" si="0"/>
        <v>0</v>
      </c>
    </row>
    <row r="77" spans="5:19" x14ac:dyDescent="0.25">
      <c r="E77" t="s">
        <v>153</v>
      </c>
      <c r="G77" s="29">
        <f>'Datos Recicladores'!J130*F43</f>
        <v>0</v>
      </c>
      <c r="L77" t="s">
        <v>153</v>
      </c>
      <c r="M77" t="b">
        <f>+'C.Recicladores'!M77</f>
        <v>1</v>
      </c>
      <c r="N77" t="b">
        <f>+'C.Recicladores'!N77</f>
        <v>0</v>
      </c>
      <c r="O77" t="b">
        <f>+'C.Recicladores'!O77</f>
        <v>0</v>
      </c>
      <c r="Q77">
        <f t="shared" si="0"/>
        <v>0</v>
      </c>
      <c r="R77" s="2">
        <f t="shared" si="0"/>
        <v>0</v>
      </c>
      <c r="S77" s="2">
        <f t="shared" si="0"/>
        <v>0</v>
      </c>
    </row>
    <row r="78" spans="5:19" x14ac:dyDescent="0.25">
      <c r="E78" s="10" t="s">
        <v>9</v>
      </c>
      <c r="G78" s="32">
        <f>+IF(C11=0,0,SUM(G74:G77))</f>
        <v>0</v>
      </c>
      <c r="P78" s="10" t="s">
        <v>9</v>
      </c>
      <c r="Q78" s="29">
        <f>+SUM(Q74:Q77)</f>
        <v>0</v>
      </c>
      <c r="R78" s="29">
        <f>+SUM(R74:R77)</f>
        <v>0</v>
      </c>
      <c r="S78" s="29">
        <f>+SUM(S74:S77)</f>
        <v>0</v>
      </c>
    </row>
    <row r="82" spans="2:19" x14ac:dyDescent="0.25">
      <c r="E82" s="1209" t="s">
        <v>296</v>
      </c>
      <c r="F82" s="1209"/>
      <c r="G82" s="1209"/>
      <c r="H82" s="1209"/>
      <c r="I82" s="1209"/>
      <c r="J82" s="1209"/>
      <c r="K82" s="1209"/>
      <c r="L82" s="1209"/>
      <c r="M82" s="1209"/>
      <c r="N82" s="1209"/>
      <c r="O82" s="1209"/>
      <c r="P82" s="1209"/>
      <c r="Q82" s="1209"/>
      <c r="R82" s="1209"/>
      <c r="S82" s="1209"/>
    </row>
    <row r="84" spans="2:19" ht="26.25" x14ac:dyDescent="0.25">
      <c r="E84" s="10" t="s">
        <v>86</v>
      </c>
      <c r="F84" s="10" t="s">
        <v>298</v>
      </c>
      <c r="M84" s="10" t="s">
        <v>86</v>
      </c>
      <c r="N84" t="s">
        <v>426</v>
      </c>
      <c r="O84" s="125" t="s">
        <v>137</v>
      </c>
      <c r="P84" t="s">
        <v>125</v>
      </c>
    </row>
    <row r="85" spans="2:19" x14ac:dyDescent="0.25">
      <c r="E85" t="s">
        <v>291</v>
      </c>
      <c r="F85" s="29">
        <f>+K44</f>
        <v>0</v>
      </c>
      <c r="M85" t="s">
        <v>291</v>
      </c>
      <c r="N85" s="29">
        <f>+R44</f>
        <v>0</v>
      </c>
      <c r="O85" s="29">
        <f>+S44</f>
        <v>0</v>
      </c>
      <c r="P85" s="29">
        <f t="shared" ref="P85:P90" si="1">+IF((F85-N85-O85)&lt;0,0,F85-N85-O85)</f>
        <v>0</v>
      </c>
    </row>
    <row r="86" spans="2:19" x14ac:dyDescent="0.25">
      <c r="E86" t="s">
        <v>290</v>
      </c>
      <c r="F86" s="29">
        <f>+G78</f>
        <v>0</v>
      </c>
      <c r="M86" t="s">
        <v>290</v>
      </c>
      <c r="N86" s="29">
        <f>+R78</f>
        <v>0</v>
      </c>
      <c r="O86" s="29">
        <f>+S78</f>
        <v>0</v>
      </c>
      <c r="P86" s="29">
        <f t="shared" si="1"/>
        <v>0</v>
      </c>
    </row>
    <row r="87" spans="2:19" x14ac:dyDescent="0.25">
      <c r="E87" t="s">
        <v>292</v>
      </c>
      <c r="F87" s="29">
        <f>+SUM(F50,F53,F54)</f>
        <v>0</v>
      </c>
      <c r="M87" t="s">
        <v>292</v>
      </c>
      <c r="N87" s="29">
        <f>+R54</f>
        <v>0</v>
      </c>
      <c r="O87" s="29">
        <f>+S54</f>
        <v>0</v>
      </c>
      <c r="P87" s="29">
        <f t="shared" si="1"/>
        <v>0</v>
      </c>
    </row>
    <row r="88" spans="2:19" x14ac:dyDescent="0.25">
      <c r="E88" t="s">
        <v>293</v>
      </c>
      <c r="F88" s="29">
        <f>+SUM(F68:K68)</f>
        <v>0</v>
      </c>
      <c r="M88" t="s">
        <v>293</v>
      </c>
      <c r="N88" s="29">
        <f>+R65</f>
        <v>0</v>
      </c>
      <c r="O88" s="29">
        <f>+S65</f>
        <v>0</v>
      </c>
      <c r="P88" s="29">
        <f t="shared" si="1"/>
        <v>0</v>
      </c>
    </row>
    <row r="89" spans="2:19" x14ac:dyDescent="0.25">
      <c r="E89" t="s">
        <v>208</v>
      </c>
      <c r="F89" s="29">
        <f>'Datos Recicladores'!L254*SUM(F85:F88)</f>
        <v>0</v>
      </c>
      <c r="M89" t="s">
        <v>208</v>
      </c>
      <c r="N89" s="29">
        <f>+IF(C38=TRUE,F89,0)</f>
        <v>0</v>
      </c>
      <c r="O89" s="29">
        <f>+IF(C39=TRUE,F89,0)</f>
        <v>0</v>
      </c>
      <c r="P89" s="29">
        <f t="shared" si="1"/>
        <v>0</v>
      </c>
    </row>
    <row r="90" spans="2:19" x14ac:dyDescent="0.25">
      <c r="E90" t="s">
        <v>294</v>
      </c>
      <c r="F90" s="29">
        <f>+SUM(F86:F89)*$C$34</f>
        <v>0</v>
      </c>
      <c r="M90" t="s">
        <v>294</v>
      </c>
      <c r="N90" s="29">
        <f>+SUM(N86:N89)*$C$34</f>
        <v>0</v>
      </c>
      <c r="O90" s="29">
        <f>+SUM(O86:O89)*$C$34</f>
        <v>0</v>
      </c>
      <c r="P90" s="29">
        <f t="shared" si="1"/>
        <v>0</v>
      </c>
    </row>
    <row r="91" spans="2:19" x14ac:dyDescent="0.25">
      <c r="E91" s="10" t="s">
        <v>295</v>
      </c>
      <c r="F91" s="32">
        <f>+SUM(F85:F90)</f>
        <v>0</v>
      </c>
      <c r="M91" t="s">
        <v>9</v>
      </c>
      <c r="N91" s="29">
        <f>+SUM(N85:N90)</f>
        <v>0</v>
      </c>
      <c r="O91" s="29">
        <f>+SUM(O85:O90)</f>
        <v>0</v>
      </c>
      <c r="P91" s="29">
        <f>+SUM(P85:P90)</f>
        <v>0</v>
      </c>
    </row>
    <row r="94" spans="2:19" ht="57.75" customHeight="1" x14ac:dyDescent="0.25">
      <c r="B94" s="1207" t="s">
        <v>300</v>
      </c>
      <c r="C94" s="1208"/>
      <c r="D94" s="1208"/>
      <c r="E94" s="1208"/>
      <c r="F94" s="1208"/>
      <c r="G94" s="1208"/>
      <c r="H94" s="1208"/>
      <c r="I94" s="1208"/>
      <c r="J94" s="1208"/>
      <c r="K94" s="1208"/>
      <c r="L94" s="1208"/>
      <c r="M94" s="1208"/>
      <c r="N94" s="1208"/>
      <c r="O94" s="1208"/>
      <c r="P94" s="1208"/>
      <c r="Q94" s="1208"/>
      <c r="R94" s="1208"/>
      <c r="S94" s="1208"/>
    </row>
    <row r="97" spans="2:19" x14ac:dyDescent="0.25">
      <c r="B97" s="27" t="s">
        <v>121</v>
      </c>
      <c r="C97" s="27"/>
      <c r="E97" s="1193" t="s">
        <v>291</v>
      </c>
      <c r="F97" s="1193"/>
      <c r="G97" s="1193"/>
      <c r="H97" s="1193"/>
      <c r="I97" s="1193"/>
      <c r="J97" s="1193"/>
      <c r="K97" s="1193"/>
      <c r="L97" s="1193"/>
      <c r="M97" s="1193"/>
      <c r="N97" s="1193"/>
      <c r="O97" s="1193"/>
      <c r="P97" s="1193"/>
      <c r="Q97" s="1193"/>
      <c r="R97" s="1193"/>
      <c r="S97" s="1193"/>
    </row>
    <row r="98" spans="2:19" ht="15.75" x14ac:dyDescent="0.25">
      <c r="B98" s="27"/>
      <c r="C98" s="27"/>
      <c r="E98" s="162" t="s">
        <v>480</v>
      </c>
    </row>
    <row r="99" spans="2:19" x14ac:dyDescent="0.25">
      <c r="B99" s="27" t="s">
        <v>302</v>
      </c>
      <c r="C99" s="27" t="b">
        <f>+'C.Recicladores'!C96</f>
        <v>0</v>
      </c>
      <c r="E99" s="10" t="s">
        <v>314</v>
      </c>
      <c r="F99" s="10" t="str">
        <f>+C120</f>
        <v>Cantidad pequeño</v>
      </c>
      <c r="G99" s="10" t="str">
        <f>+C121</f>
        <v>Selecccione unitario pequeño</v>
      </c>
      <c r="H99" s="10" t="s">
        <v>268</v>
      </c>
      <c r="I99" s="1206" t="s">
        <v>360</v>
      </c>
      <c r="J99" s="1206"/>
      <c r="K99" s="1206"/>
      <c r="M99" t="s">
        <v>471</v>
      </c>
      <c r="N99" t="s">
        <v>424</v>
      </c>
      <c r="O99" t="s">
        <v>137</v>
      </c>
      <c r="Q99" s="10" t="s">
        <v>125</v>
      </c>
      <c r="R99" s="10" t="s">
        <v>424</v>
      </c>
      <c r="S99" s="10" t="s">
        <v>137</v>
      </c>
    </row>
    <row r="100" spans="2:19" x14ac:dyDescent="0.25">
      <c r="B100" s="27" t="s">
        <v>303</v>
      </c>
      <c r="C100" s="27" t="b">
        <f>+'C.Recicladores'!C97</f>
        <v>1</v>
      </c>
      <c r="E100" s="60" t="s">
        <v>315</v>
      </c>
      <c r="F100" s="60">
        <f>'Datos Recicladores'!J194*$C$114</f>
        <v>0</v>
      </c>
      <c r="G100" s="60">
        <f>'Datos Recicladores'!M194</f>
        <v>0</v>
      </c>
      <c r="H100" s="60">
        <f>+G100*F100</f>
        <v>0</v>
      </c>
      <c r="I100" s="1190">
        <f>+IF(F100&gt;0,PMT($C$34,IF('Datos Recicladores'!$O$146="",'Datos Recicladores'!$P$146,'Datos Recicladores'!$O$146)*12,-'C.RecicladoresRef'!H100),0)</f>
        <v>0</v>
      </c>
      <c r="J100" s="1190"/>
      <c r="K100" s="1190"/>
      <c r="M100" t="b">
        <f>+'C.Recicladores'!M100</f>
        <v>1</v>
      </c>
      <c r="N100" t="b">
        <f>+'C.Recicladores'!N100</f>
        <v>0</v>
      </c>
      <c r="O100" t="b">
        <f>+'C.Recicladores'!O100</f>
        <v>0</v>
      </c>
      <c r="Q100" s="2">
        <f>+IF(M100=TRUE,$I100,0)</f>
        <v>0</v>
      </c>
      <c r="R100" s="2">
        <f>+IF(N100=TRUE,$I100,0)</f>
        <v>0</v>
      </c>
      <c r="S100" s="2">
        <f>+IF(O100=TRUE,$I100,0)</f>
        <v>0</v>
      </c>
    </row>
    <row r="101" spans="2:19" x14ac:dyDescent="0.25">
      <c r="B101" s="27"/>
      <c r="C101" s="27"/>
      <c r="E101" s="61" t="s">
        <v>168</v>
      </c>
      <c r="F101" s="61">
        <f>'Datos Recicladores'!J195*$C$114</f>
        <v>0</v>
      </c>
      <c r="G101" s="61">
        <f>'Datos Recicladores'!M195</f>
        <v>0</v>
      </c>
      <c r="H101" s="61">
        <f t="shared" ref="H101:H127" si="2">+G101*F101</f>
        <v>0</v>
      </c>
      <c r="I101" s="1199">
        <f>+IF(F101&gt;0,PMT($C$34,IF('Datos Recicladores'!$O$146="",'Datos Recicladores'!$P$146,'Datos Recicladores'!$O$146)*12,-'C.RecicladoresRef'!H101),0)</f>
        <v>0</v>
      </c>
      <c r="J101" s="1199"/>
      <c r="K101" s="1199"/>
      <c r="P101" s="27"/>
      <c r="Q101" s="28"/>
      <c r="R101" s="27"/>
      <c r="S101" s="27"/>
    </row>
    <row r="102" spans="2:19" x14ac:dyDescent="0.25">
      <c r="E102" s="60" t="s">
        <v>316</v>
      </c>
      <c r="F102" s="60">
        <f>'Datos Recicladores'!J196*$C$114</f>
        <v>0</v>
      </c>
      <c r="G102" s="60">
        <f>'Datos Recicladores'!M196</f>
        <v>0</v>
      </c>
      <c r="H102" s="60">
        <f t="shared" si="2"/>
        <v>0</v>
      </c>
      <c r="I102" s="1190">
        <f>+IF(F102&gt;0,PMT($C$34,IF('Datos Recicladores'!$O$146="",'Datos Recicladores'!$P$146,'Datos Recicladores'!$O$146)*12,-'C.RecicladoresRef'!H102),0)</f>
        <v>0</v>
      </c>
      <c r="J102" s="1190"/>
      <c r="K102" s="1190"/>
      <c r="M102" t="b">
        <f>+'C.Recicladores'!M102</f>
        <v>1</v>
      </c>
      <c r="N102" t="b">
        <f>+'C.Recicladores'!N102</f>
        <v>0</v>
      </c>
      <c r="O102" t="b">
        <f>+'C.Recicladores'!O102</f>
        <v>0</v>
      </c>
      <c r="Q102" s="2">
        <f>+IF(M102=TRUE,$I102,0)</f>
        <v>0</v>
      </c>
      <c r="R102" s="2">
        <f>+IF(N102=TRUE,$I102,0)</f>
        <v>0</v>
      </c>
      <c r="S102" s="2">
        <f>+IF(O102=TRUE,$I102,0)</f>
        <v>0</v>
      </c>
    </row>
    <row r="103" spans="2:19" x14ac:dyDescent="0.25">
      <c r="B103" s="27" t="s">
        <v>156</v>
      </c>
      <c r="C103" s="27"/>
      <c r="E103" s="61" t="s">
        <v>171</v>
      </c>
      <c r="F103" s="61">
        <f>'Datos Recicladores'!J197*$C$114</f>
        <v>0</v>
      </c>
      <c r="G103" s="61">
        <f>'Datos Recicladores'!M197</f>
        <v>0</v>
      </c>
      <c r="H103" s="61">
        <f t="shared" si="2"/>
        <v>0</v>
      </c>
      <c r="I103" s="1199">
        <f>+IF(F103&gt;0,PMT($C$34,IF('Datos Recicladores'!$O$146="",'Datos Recicladores'!$P$146,'Datos Recicladores'!$O$146)*12,-'C.RecicladoresRef'!H103),0)</f>
        <v>0</v>
      </c>
      <c r="J103" s="1199"/>
      <c r="K103" s="1199"/>
      <c r="M103" t="b">
        <f>+'C.Recicladores'!M103</f>
        <v>1</v>
      </c>
      <c r="N103" t="b">
        <f>+'C.Recicladores'!N103</f>
        <v>0</v>
      </c>
      <c r="O103" t="b">
        <f>+'C.Recicladores'!O103</f>
        <v>0</v>
      </c>
      <c r="Q103" s="2">
        <f t="shared" ref="Q103:S126" si="3">+IF(M103=TRUE,$I103,0)</f>
        <v>0</v>
      </c>
      <c r="R103" s="2">
        <f>+IF(N103=TRUE,$I103,0)</f>
        <v>0</v>
      </c>
      <c r="S103" s="2">
        <f>+IF(O103=TRUE,$I103,0)</f>
        <v>0</v>
      </c>
    </row>
    <row r="104" spans="2:19" x14ac:dyDescent="0.25">
      <c r="B104" s="27" t="s">
        <v>157</v>
      </c>
      <c r="C104" s="27" t="b">
        <f>+'C.Recicladores'!C104</f>
        <v>1</v>
      </c>
      <c r="E104" s="60" t="s">
        <v>317</v>
      </c>
      <c r="F104" s="60">
        <f>'Datos Recicladores'!J198*$C$114</f>
        <v>0</v>
      </c>
      <c r="G104" s="60">
        <f>'Datos Recicladores'!M198</f>
        <v>0</v>
      </c>
      <c r="H104" s="60">
        <f t="shared" si="2"/>
        <v>0</v>
      </c>
      <c r="I104" s="1190">
        <f>+IF(F104&gt;0,PMT($C$34,IF('Datos Recicladores'!$O$146="",'Datos Recicladores'!$P$146,'Datos Recicladores'!$O$146)*12,-'C.RecicladoresRef'!H104),0)</f>
        <v>0</v>
      </c>
      <c r="J104" s="1190"/>
      <c r="K104" s="1190"/>
      <c r="P104" s="27"/>
      <c r="Q104" s="28"/>
      <c r="R104" s="27"/>
      <c r="S104" s="27"/>
    </row>
    <row r="105" spans="2:19" x14ac:dyDescent="0.25">
      <c r="B105" s="27" t="s">
        <v>158</v>
      </c>
      <c r="C105" s="27" t="b">
        <f>+'C.Recicladores'!C105</f>
        <v>0</v>
      </c>
      <c r="E105" s="61" t="s">
        <v>173</v>
      </c>
      <c r="F105" s="61">
        <f>'Datos Recicladores'!J199*$C$114</f>
        <v>0</v>
      </c>
      <c r="G105" s="61">
        <f>'Datos Recicladores'!M199</f>
        <v>0</v>
      </c>
      <c r="H105" s="61">
        <f t="shared" si="2"/>
        <v>0</v>
      </c>
      <c r="I105" s="1199">
        <f>+IF(F105&gt;0,PMT($C$34,IF('Datos Recicladores'!$O$146="",'Datos Recicladores'!$P$146,'Datos Recicladores'!$O$146)*12,-'C.RecicladoresRef'!H105),0)</f>
        <v>0</v>
      </c>
      <c r="J105" s="1199"/>
      <c r="K105" s="1199"/>
      <c r="M105" t="b">
        <f>+'C.Recicladores'!M105</f>
        <v>1</v>
      </c>
      <c r="N105" t="b">
        <f>+'C.Recicladores'!N105</f>
        <v>0</v>
      </c>
      <c r="O105" t="b">
        <f>+'C.Recicladores'!O105</f>
        <v>0</v>
      </c>
      <c r="Q105" s="2">
        <f t="shared" si="3"/>
        <v>0</v>
      </c>
      <c r="R105" s="2">
        <f t="shared" si="3"/>
        <v>0</v>
      </c>
      <c r="S105" s="2">
        <f t="shared" si="3"/>
        <v>0</v>
      </c>
    </row>
    <row r="106" spans="2:19" x14ac:dyDescent="0.25">
      <c r="B106" s="27"/>
      <c r="C106" s="27"/>
      <c r="E106" s="60" t="s">
        <v>175</v>
      </c>
      <c r="F106" s="60">
        <f>'Datos Recicladores'!J200*$C$114</f>
        <v>0</v>
      </c>
      <c r="G106" s="60">
        <f>'Datos Recicladores'!M200</f>
        <v>0</v>
      </c>
      <c r="H106" s="60">
        <f t="shared" si="2"/>
        <v>0</v>
      </c>
      <c r="I106" s="1190">
        <f>+IF(F106&gt;0,PMT($C$34,IF('Datos Recicladores'!$O$146="",'Datos Recicladores'!$P$146,'Datos Recicladores'!$O$146)*12,-'C.RecicladoresRef'!H106),0)</f>
        <v>0</v>
      </c>
      <c r="J106" s="1190"/>
      <c r="K106" s="1190"/>
      <c r="M106" t="b">
        <f>+'C.Recicladores'!M106</f>
        <v>1</v>
      </c>
      <c r="N106" t="b">
        <f>+'C.Recicladores'!N106</f>
        <v>0</v>
      </c>
      <c r="O106" t="b">
        <f>+'C.Recicladores'!O106</f>
        <v>0</v>
      </c>
      <c r="Q106" s="2">
        <f t="shared" si="3"/>
        <v>0</v>
      </c>
      <c r="R106" s="2">
        <f t="shared" si="3"/>
        <v>0</v>
      </c>
      <c r="S106" s="2">
        <f t="shared" si="3"/>
        <v>0</v>
      </c>
    </row>
    <row r="107" spans="2:19" x14ac:dyDescent="0.25">
      <c r="E107" s="61" t="s">
        <v>176</v>
      </c>
      <c r="F107" s="61">
        <f>'Datos Recicladores'!J201*$C$114</f>
        <v>0</v>
      </c>
      <c r="G107" s="61">
        <f>'Datos Recicladores'!M201</f>
        <v>0</v>
      </c>
      <c r="H107" s="61">
        <f t="shared" si="2"/>
        <v>0</v>
      </c>
      <c r="I107" s="1199">
        <f>+IF(F107&gt;0,PMT($C$34,IF('Datos Recicladores'!$O$146="",'Datos Recicladores'!$P$146,'Datos Recicladores'!$O$146)*12,-'C.RecicladoresRef'!H107),0)</f>
        <v>0</v>
      </c>
      <c r="J107" s="1199"/>
      <c r="K107" s="1199"/>
      <c r="M107" t="b">
        <f>+'C.Recicladores'!M107</f>
        <v>1</v>
      </c>
      <c r="N107" t="b">
        <f>+'C.Recicladores'!N107</f>
        <v>0</v>
      </c>
      <c r="O107" t="b">
        <f>+'C.Recicladores'!O107</f>
        <v>0</v>
      </c>
      <c r="Q107" s="2">
        <f t="shared" si="3"/>
        <v>0</v>
      </c>
      <c r="R107" s="2">
        <f t="shared" si="3"/>
        <v>0</v>
      </c>
      <c r="S107" s="2">
        <f t="shared" si="3"/>
        <v>0</v>
      </c>
    </row>
    <row r="108" spans="2:19" x14ac:dyDescent="0.25">
      <c r="E108" s="60" t="s">
        <v>177</v>
      </c>
      <c r="F108" s="60">
        <f>'Datos Recicladores'!J202*$C$114</f>
        <v>0</v>
      </c>
      <c r="G108" s="60">
        <f>'Datos Recicladores'!M202</f>
        <v>0</v>
      </c>
      <c r="H108" s="60">
        <f t="shared" si="2"/>
        <v>0</v>
      </c>
      <c r="I108" s="1190">
        <f>+IF(F108&gt;0,PMT($C$34,IF('Datos Recicladores'!$O$146="",'Datos Recicladores'!$P$146,'Datos Recicladores'!$O$146)*12,-'C.RecicladoresRef'!H108),0)</f>
        <v>0</v>
      </c>
      <c r="J108" s="1190"/>
      <c r="K108" s="1190"/>
      <c r="M108" t="b">
        <f>+'C.Recicladores'!M108</f>
        <v>1</v>
      </c>
      <c r="N108" t="b">
        <f>+'C.Recicladores'!N108</f>
        <v>0</v>
      </c>
      <c r="O108" t="b">
        <f>+'C.Recicladores'!O108</f>
        <v>0</v>
      </c>
      <c r="Q108" s="2">
        <f t="shared" si="3"/>
        <v>0</v>
      </c>
      <c r="R108" s="2">
        <f t="shared" si="3"/>
        <v>0</v>
      </c>
      <c r="S108" s="2">
        <f t="shared" si="3"/>
        <v>0</v>
      </c>
    </row>
    <row r="109" spans="2:19" x14ac:dyDescent="0.25">
      <c r="B109" s="27" t="str">
        <f>B19</f>
        <v>TON/AÑO</v>
      </c>
      <c r="C109" s="28">
        <f>C19</f>
        <v>0</v>
      </c>
      <c r="E109" s="61" t="s">
        <v>178</v>
      </c>
      <c r="F109" s="61">
        <f>'Datos Recicladores'!J203*$C$114</f>
        <v>0</v>
      </c>
      <c r="G109" s="61">
        <f>'Datos Recicladores'!M203</f>
        <v>0</v>
      </c>
      <c r="H109" s="61">
        <f t="shared" si="2"/>
        <v>0</v>
      </c>
      <c r="I109" s="1199">
        <f>+IF(F109&gt;0,PMT($C$34,IF('Datos Recicladores'!$O$146="",'Datos Recicladores'!$P$146,'Datos Recicladores'!$O$146)*12,-'C.RecicladoresRef'!H109),0)</f>
        <v>0</v>
      </c>
      <c r="J109" s="1199"/>
      <c r="K109" s="1199"/>
      <c r="M109" t="b">
        <f>+'C.Recicladores'!M109</f>
        <v>1</v>
      </c>
      <c r="N109" t="b">
        <f>+'C.Recicladores'!N109</f>
        <v>0</v>
      </c>
      <c r="O109" t="b">
        <f>+'C.Recicladores'!O109</f>
        <v>0</v>
      </c>
      <c r="Q109" s="2">
        <f t="shared" si="3"/>
        <v>0</v>
      </c>
      <c r="R109" s="2">
        <f t="shared" si="3"/>
        <v>0</v>
      </c>
      <c r="S109" s="2">
        <f t="shared" si="3"/>
        <v>0</v>
      </c>
    </row>
    <row r="110" spans="2:19" x14ac:dyDescent="0.25">
      <c r="B110" s="27" t="str">
        <f>B20</f>
        <v>TON/MES</v>
      </c>
      <c r="C110" s="28">
        <f>C20</f>
        <v>0</v>
      </c>
      <c r="E110" s="60" t="s">
        <v>179</v>
      </c>
      <c r="F110" s="60">
        <f>'Datos Recicladores'!J204*$C$114</f>
        <v>0</v>
      </c>
      <c r="G110" s="60">
        <f>'Datos Recicladores'!M204</f>
        <v>0</v>
      </c>
      <c r="H110" s="60">
        <f t="shared" si="2"/>
        <v>0</v>
      </c>
      <c r="I110" s="1190">
        <f>+IF(F110&gt;0,PMT($C$34,IF('Datos Recicladores'!$O$146="",'Datos Recicladores'!$P$146,'Datos Recicladores'!$O$146)*12,-'C.RecicladoresRef'!H110),0)</f>
        <v>0</v>
      </c>
      <c r="J110" s="1190"/>
      <c r="K110" s="1190"/>
      <c r="M110" t="b">
        <f>+'C.Recicladores'!M110</f>
        <v>1</v>
      </c>
      <c r="N110" t="b">
        <f>+'C.Recicladores'!N110</f>
        <v>0</v>
      </c>
      <c r="O110" t="b">
        <f>+'C.Recicladores'!O110</f>
        <v>0</v>
      </c>
      <c r="Q110" s="2">
        <f t="shared" si="3"/>
        <v>0</v>
      </c>
      <c r="R110" s="2">
        <f t="shared" si="3"/>
        <v>0</v>
      </c>
      <c r="S110" s="2">
        <f t="shared" si="3"/>
        <v>0</v>
      </c>
    </row>
    <row r="111" spans="2:19" x14ac:dyDescent="0.25">
      <c r="B111" s="27" t="s">
        <v>342</v>
      </c>
      <c r="C111" s="28">
        <f>+tonmes/(IF('Datos Recicladores'!O158="",'Datos Recicladores'!P158,'Datos Recicladores'!O158)*IF('Datos Recicladores'!O159="",'Datos Recicladores'!P159,'Datos Recicladores'!O159)*IF('Datos Recicladores'!O160="",'Datos Recicladores'!P160,'Datos Recicladores'!O160))</f>
        <v>0</v>
      </c>
      <c r="E111" s="61" t="s">
        <v>318</v>
      </c>
      <c r="F111" s="61">
        <f>'Datos Recicladores'!J205*$C$114</f>
        <v>0</v>
      </c>
      <c r="G111" s="61">
        <f>'Datos Recicladores'!M205</f>
        <v>0</v>
      </c>
      <c r="H111" s="61">
        <f t="shared" si="2"/>
        <v>0</v>
      </c>
      <c r="I111" s="1199">
        <f>+IF(F111&gt;0,PMT($C$34,IF('Datos Recicladores'!$O$146="",'Datos Recicladores'!$P$146,'Datos Recicladores'!$O$146)*12,-'C.RecicladoresRef'!H111),0)</f>
        <v>0</v>
      </c>
      <c r="J111" s="1199"/>
      <c r="K111" s="1199"/>
      <c r="M111" t="b">
        <f>+'C.Recicladores'!M111</f>
        <v>1</v>
      </c>
      <c r="N111" t="b">
        <f>+'C.Recicladores'!N111</f>
        <v>0</v>
      </c>
      <c r="O111" t="b">
        <f>+'C.Recicladores'!O111</f>
        <v>0</v>
      </c>
      <c r="Q111" s="2">
        <f t="shared" si="3"/>
        <v>0</v>
      </c>
      <c r="R111" s="2">
        <f t="shared" si="3"/>
        <v>0</v>
      </c>
      <c r="S111" s="2">
        <f t="shared" si="3"/>
        <v>0</v>
      </c>
    </row>
    <row r="112" spans="2:19" x14ac:dyDescent="0.25">
      <c r="E112" s="60" t="s">
        <v>319</v>
      </c>
      <c r="F112" s="60">
        <f>'Datos Recicladores'!J206*$C$114</f>
        <v>0</v>
      </c>
      <c r="G112" s="60">
        <f>'Datos Recicladores'!M206</f>
        <v>0</v>
      </c>
      <c r="H112" s="60">
        <f t="shared" si="2"/>
        <v>0</v>
      </c>
      <c r="I112" s="1190">
        <f>+IF(F112&gt;0,PMT($C$34,IF('Datos Recicladores'!$O$146="",'Datos Recicladores'!$P$146,'Datos Recicladores'!$O$146)*12,-'C.RecicladoresRef'!H112),0)</f>
        <v>0</v>
      </c>
      <c r="J112" s="1190"/>
      <c r="K112" s="1190"/>
      <c r="M112" t="b">
        <f>+'C.Recicladores'!M112</f>
        <v>1</v>
      </c>
      <c r="N112" t="b">
        <f>+'C.Recicladores'!N112</f>
        <v>0</v>
      </c>
      <c r="O112" t="b">
        <f>+'C.Recicladores'!O112</f>
        <v>0</v>
      </c>
      <c r="Q112" s="2">
        <f t="shared" si="3"/>
        <v>0</v>
      </c>
      <c r="R112" s="2">
        <f t="shared" si="3"/>
        <v>0</v>
      </c>
      <c r="S112" s="2">
        <f t="shared" si="3"/>
        <v>0</v>
      </c>
    </row>
    <row r="113" spans="2:19" x14ac:dyDescent="0.25">
      <c r="B113" s="27" t="s">
        <v>677</v>
      </c>
      <c r="C113" s="28">
        <f>+IF(Tamaño=TRUE,'Datos Recicladores'!I148,'Datos Recicladores'!G149)</f>
        <v>0</v>
      </c>
      <c r="E113" s="61" t="s">
        <v>183</v>
      </c>
      <c r="F113" s="61">
        <f>'Datos Recicladores'!J207*$C$114</f>
        <v>0</v>
      </c>
      <c r="G113" s="61">
        <f>'Datos Recicladores'!M207</f>
        <v>0</v>
      </c>
      <c r="H113" s="61">
        <f t="shared" si="2"/>
        <v>0</v>
      </c>
      <c r="I113" s="1199">
        <f>+IF(F113&gt;0,PMT($C$34,IF('Datos Recicladores'!$O$146="",'Datos Recicladores'!$P$146,'Datos Recicladores'!$O$146)*12,-'C.RecicladoresRef'!H113),0)</f>
        <v>0</v>
      </c>
      <c r="J113" s="1199"/>
      <c r="K113" s="1199"/>
      <c r="M113" t="b">
        <f>+'C.Recicladores'!M113</f>
        <v>1</v>
      </c>
      <c r="N113" t="b">
        <f>+'C.Recicladores'!N113</f>
        <v>0</v>
      </c>
      <c r="O113" t="b">
        <f>+'C.Recicladores'!O113</f>
        <v>0</v>
      </c>
      <c r="Q113" s="2">
        <f t="shared" si="3"/>
        <v>0</v>
      </c>
      <c r="R113" s="2">
        <f t="shared" si="3"/>
        <v>0</v>
      </c>
      <c r="S113" s="2">
        <f t="shared" si="3"/>
        <v>0</v>
      </c>
    </row>
    <row r="114" spans="2:19" x14ac:dyDescent="0.25">
      <c r="B114" s="27" t="s">
        <v>353</v>
      </c>
      <c r="C114" s="28">
        <f>+IF(C99=FALSE,'Datos Recicladores'!G148,'Datos Recicladores'!I149)</f>
        <v>0</v>
      </c>
      <c r="E114" s="60" t="s">
        <v>184</v>
      </c>
      <c r="F114" s="60">
        <f>'Datos Recicladores'!J208*$C$114</f>
        <v>0</v>
      </c>
      <c r="G114" s="60">
        <f>'Datos Recicladores'!M208</f>
        <v>0</v>
      </c>
      <c r="H114" s="60">
        <f t="shared" si="2"/>
        <v>0</v>
      </c>
      <c r="I114" s="1190">
        <f>+IF(F114&gt;0,PMT($C$34,IF('Datos Recicladores'!$O$146="",'Datos Recicladores'!$P$146,'Datos Recicladores'!$O$146)*12,-'C.RecicladoresRef'!H114),0)</f>
        <v>0</v>
      </c>
      <c r="J114" s="1190"/>
      <c r="K114" s="1190"/>
      <c r="M114" t="b">
        <f>+'C.Recicladores'!M114</f>
        <v>1</v>
      </c>
      <c r="N114" t="b">
        <f>+'C.Recicladores'!N114</f>
        <v>0</v>
      </c>
      <c r="O114" t="b">
        <f>+'C.Recicladores'!O114</f>
        <v>0</v>
      </c>
      <c r="Q114" s="2">
        <f t="shared" si="3"/>
        <v>0</v>
      </c>
      <c r="R114" s="2">
        <f t="shared" si="3"/>
        <v>0</v>
      </c>
      <c r="S114" s="2">
        <f t="shared" si="3"/>
        <v>0</v>
      </c>
    </row>
    <row r="115" spans="2:19" x14ac:dyDescent="0.25">
      <c r="B115" s="27" t="s">
        <v>301</v>
      </c>
      <c r="C115" s="28">
        <f>+'Datos Recicladores'!G150</f>
        <v>0</v>
      </c>
      <c r="E115" s="61" t="s">
        <v>185</v>
      </c>
      <c r="F115" s="61">
        <f>'Datos Recicladores'!J209*$C$114</f>
        <v>0</v>
      </c>
      <c r="G115" s="61">
        <f>'Datos Recicladores'!M209</f>
        <v>0</v>
      </c>
      <c r="H115" s="61">
        <f t="shared" si="2"/>
        <v>0</v>
      </c>
      <c r="I115" s="1199">
        <f>+IF(F115&gt;0,PMT($C$34,IF('Datos Recicladores'!$O$146="",'Datos Recicladores'!$P$146,'Datos Recicladores'!$O$146)*12,-'C.RecicladoresRef'!H115),0)</f>
        <v>0</v>
      </c>
      <c r="J115" s="1199"/>
      <c r="K115" s="1199"/>
      <c r="M115" t="b">
        <f>+'C.Recicladores'!M115</f>
        <v>1</v>
      </c>
      <c r="N115" t="b">
        <f>+'C.Recicladores'!N115</f>
        <v>0</v>
      </c>
      <c r="O115" t="b">
        <f>+'C.Recicladores'!O115</f>
        <v>0</v>
      </c>
      <c r="Q115" s="2">
        <f t="shared" si="3"/>
        <v>0</v>
      </c>
      <c r="R115" s="2">
        <f t="shared" si="3"/>
        <v>0</v>
      </c>
      <c r="S115" s="2">
        <f t="shared" si="3"/>
        <v>0</v>
      </c>
    </row>
    <row r="116" spans="2:19" x14ac:dyDescent="0.25">
      <c r="B116" s="27" t="s">
        <v>148</v>
      </c>
      <c r="C116" s="28">
        <f>+C114*C113-C115</f>
        <v>0</v>
      </c>
      <c r="E116" s="60" t="s">
        <v>186</v>
      </c>
      <c r="F116" s="60">
        <f>'Datos Recicladores'!J210*$C$114</f>
        <v>0</v>
      </c>
      <c r="G116" s="60">
        <f>'Datos Recicladores'!M210</f>
        <v>0</v>
      </c>
      <c r="H116" s="60">
        <f t="shared" si="2"/>
        <v>0</v>
      </c>
      <c r="I116" s="1190">
        <f>+IF(F116&gt;0,PMT($C$34,IF('Datos Recicladores'!$O$146="",'Datos Recicladores'!$P$146,'Datos Recicladores'!$O$146)*12,-'C.RecicladoresRef'!H116),0)</f>
        <v>0</v>
      </c>
      <c r="J116" s="1190"/>
      <c r="K116" s="1190"/>
      <c r="M116" t="b">
        <f>+'C.Recicladores'!M116</f>
        <v>1</v>
      </c>
      <c r="N116" t="b">
        <f>+'C.Recicladores'!N116</f>
        <v>0</v>
      </c>
      <c r="O116" t="b">
        <f>+'C.Recicladores'!O116</f>
        <v>0</v>
      </c>
      <c r="Q116" s="2">
        <f t="shared" si="3"/>
        <v>0</v>
      </c>
      <c r="R116" s="2">
        <f t="shared" si="3"/>
        <v>0</v>
      </c>
      <c r="S116" s="2">
        <f t="shared" si="3"/>
        <v>0</v>
      </c>
    </row>
    <row r="117" spans="2:19" x14ac:dyDescent="0.25">
      <c r="B117" s="27" t="s">
        <v>305</v>
      </c>
      <c r="C117" s="28" t="e">
        <f>+tonmes/C114</f>
        <v>#DIV/0!</v>
      </c>
      <c r="E117" s="61" t="s">
        <v>320</v>
      </c>
      <c r="F117" s="61">
        <f>'Datos Recicladores'!J212*$C$114</f>
        <v>0</v>
      </c>
      <c r="G117" s="61">
        <f>'Datos Recicladores'!M212</f>
        <v>0</v>
      </c>
      <c r="H117" s="61">
        <f t="shared" si="2"/>
        <v>0</v>
      </c>
      <c r="I117" s="1199">
        <f>+IF(F117&gt;0,PMT($C$34,IF('Datos Recicladores'!$O$146="",'Datos Recicladores'!$P$146,'Datos Recicladores'!$O$146)*12,-'C.RecicladoresRef'!H117),0)</f>
        <v>0</v>
      </c>
      <c r="J117" s="1199"/>
      <c r="K117" s="1199"/>
      <c r="M117" t="b">
        <f>+'C.Recicladores'!M117</f>
        <v>1</v>
      </c>
      <c r="N117" t="b">
        <f>+'C.Recicladores'!N117</f>
        <v>0</v>
      </c>
      <c r="O117" t="b">
        <f>+'C.Recicladores'!O117</f>
        <v>0</v>
      </c>
      <c r="Q117" s="2">
        <f t="shared" si="3"/>
        <v>0</v>
      </c>
      <c r="R117" s="2">
        <f t="shared" si="3"/>
        <v>0</v>
      </c>
      <c r="S117" s="2">
        <f t="shared" si="3"/>
        <v>0</v>
      </c>
    </row>
    <row r="118" spans="2:19" x14ac:dyDescent="0.25">
      <c r="B118" s="27" t="s">
        <v>352</v>
      </c>
      <c r="C118" s="28" t="e">
        <f>+C117/(IF('Datos Recicladores'!O158="",'Datos Recicladores'!P158,'Datos Recicladores'!O158)*IF('Datos Recicladores'!O159="",'Datos Recicladores'!P159,'Datos Recicladores'!O159)*IF('Datos Recicladores'!O160="",'Datos Recicladores'!P160,'Datos Recicladores'!O160))</f>
        <v>#DIV/0!</v>
      </c>
      <c r="E118" s="60" t="s">
        <v>321</v>
      </c>
      <c r="F118" s="60">
        <f>'Datos Recicladores'!J213*$C$114</f>
        <v>0</v>
      </c>
      <c r="G118" s="60">
        <f>'Datos Recicladores'!M213</f>
        <v>0</v>
      </c>
      <c r="H118" s="60">
        <f t="shared" si="2"/>
        <v>0</v>
      </c>
      <c r="I118" s="1190">
        <f>+IF(F118&gt;0,PMT($C$34,IF('Datos Recicladores'!$O$146="",'Datos Recicladores'!$P$146,'Datos Recicladores'!$O$146)*12,-'C.RecicladoresRef'!H118),0)</f>
        <v>0</v>
      </c>
      <c r="J118" s="1190"/>
      <c r="K118" s="1190"/>
      <c r="M118" t="b">
        <f>+'C.Recicladores'!M118</f>
        <v>1</v>
      </c>
      <c r="N118" t="b">
        <f>+'C.Recicladores'!N118</f>
        <v>0</v>
      </c>
      <c r="O118" t="b">
        <f>+'C.Recicladores'!O118</f>
        <v>0</v>
      </c>
      <c r="Q118" s="2">
        <f t="shared" si="3"/>
        <v>0</v>
      </c>
      <c r="R118" s="2">
        <f t="shared" si="3"/>
        <v>0</v>
      </c>
      <c r="S118" s="2">
        <f t="shared" si="3"/>
        <v>0</v>
      </c>
    </row>
    <row r="119" spans="2:19" x14ac:dyDescent="0.25">
      <c r="E119" s="61" t="s">
        <v>189</v>
      </c>
      <c r="F119" s="61">
        <f>'Datos Recicladores'!J214*$C$114</f>
        <v>0</v>
      </c>
      <c r="G119" s="61">
        <f>'Datos Recicladores'!M214</f>
        <v>0</v>
      </c>
      <c r="H119" s="61">
        <f t="shared" si="2"/>
        <v>0</v>
      </c>
      <c r="I119" s="1199">
        <f>+IF(F119&gt;0,PMT($C$34,IF('Datos Recicladores'!$O$146="",'Datos Recicladores'!$P$146,'Datos Recicladores'!$O$146)*12,-'C.RecicladoresRef'!H119),0)</f>
        <v>0</v>
      </c>
      <c r="J119" s="1199"/>
      <c r="K119" s="1199"/>
      <c r="M119" t="b">
        <f>+'C.Recicladores'!M119</f>
        <v>1</v>
      </c>
      <c r="N119" t="b">
        <f>+'C.Recicladores'!N119</f>
        <v>0</v>
      </c>
      <c r="O119" t="b">
        <f>+'C.Recicladores'!O119</f>
        <v>0</v>
      </c>
      <c r="Q119" s="2">
        <f t="shared" si="3"/>
        <v>0</v>
      </c>
      <c r="R119" s="2">
        <f t="shared" si="3"/>
        <v>0</v>
      </c>
      <c r="S119" s="2">
        <f t="shared" si="3"/>
        <v>0</v>
      </c>
    </row>
    <row r="120" spans="2:19" x14ac:dyDescent="0.25">
      <c r="B120" s="27" t="s">
        <v>86</v>
      </c>
      <c r="C120" s="27" t="str">
        <f>+CONCATENATE("Cantidad"," ",IF('C.RecicladoresRef'!C113&lt;1560,"pequeño",IF('C.RecicladoresRef'!C113&lt;15000,"mediano","grande")))</f>
        <v>Cantidad pequeño</v>
      </c>
      <c r="E120" s="60" t="s">
        <v>190</v>
      </c>
      <c r="F120" s="60">
        <f>'Datos Recicladores'!J215*$C$114</f>
        <v>0</v>
      </c>
      <c r="G120" s="60">
        <f>'Datos Recicladores'!M215</f>
        <v>0</v>
      </c>
      <c r="H120" s="60">
        <f t="shared" si="2"/>
        <v>0</v>
      </c>
      <c r="I120" s="1190">
        <f>+IF(F120&gt;0,PMT($C$34,IF('Datos Recicladores'!$O$146="",'Datos Recicladores'!$P$146,'Datos Recicladores'!$O$146)*12,-'C.RecicladoresRef'!H120),0)</f>
        <v>0</v>
      </c>
      <c r="J120" s="1190"/>
      <c r="K120" s="1190"/>
      <c r="M120" t="b">
        <f>+'C.Recicladores'!M120</f>
        <v>1</v>
      </c>
      <c r="N120" t="b">
        <f>+'C.Recicladores'!N120</f>
        <v>0</v>
      </c>
      <c r="O120" t="b">
        <f>+'C.Recicladores'!O120</f>
        <v>0</v>
      </c>
      <c r="Q120" s="2">
        <f t="shared" si="3"/>
        <v>0</v>
      </c>
      <c r="R120" s="2">
        <f t="shared" si="3"/>
        <v>0</v>
      </c>
      <c r="S120" s="2">
        <f t="shared" si="3"/>
        <v>0</v>
      </c>
    </row>
    <row r="121" spans="2:19" x14ac:dyDescent="0.25">
      <c r="B121" s="27"/>
      <c r="C121" s="27" t="str">
        <f>+CONCATENATE('Datos Generales'!K11," ","unitario"," ",IF('C.RecicladoresRef'!C113&lt;1560,"pequeño",IF('C.RecicladoresRef'!C113&lt;15000,"mediano","grande")))</f>
        <v>Selecccione unitario pequeño</v>
      </c>
      <c r="E121" s="61" t="s">
        <v>192</v>
      </c>
      <c r="F121" s="61">
        <f>'Datos Recicladores'!J216*$C$114</f>
        <v>0</v>
      </c>
      <c r="G121" s="61">
        <f>'Datos Recicladores'!M216</f>
        <v>0</v>
      </c>
      <c r="H121" s="61">
        <f t="shared" si="2"/>
        <v>0</v>
      </c>
      <c r="I121" s="1199">
        <f>+IF(F121&gt;0,PMT($C$34,IF('Datos Recicladores'!$O$146="",'Datos Recicladores'!$P$146,'Datos Recicladores'!$O$146)*12,-'C.RecicladoresRef'!H121),0)</f>
        <v>0</v>
      </c>
      <c r="J121" s="1199"/>
      <c r="K121" s="1199"/>
      <c r="M121" t="b">
        <f>+'C.Recicladores'!M121</f>
        <v>1</v>
      </c>
      <c r="N121" t="b">
        <f>+'C.Recicladores'!N121</f>
        <v>0</v>
      </c>
      <c r="O121" t="b">
        <f>+'C.Recicladores'!O121</f>
        <v>0</v>
      </c>
      <c r="Q121" s="2">
        <f t="shared" si="3"/>
        <v>0</v>
      </c>
      <c r="R121" s="2">
        <f t="shared" si="3"/>
        <v>0</v>
      </c>
      <c r="S121" s="2">
        <f t="shared" si="3"/>
        <v>0</v>
      </c>
    </row>
    <row r="122" spans="2:19" x14ac:dyDescent="0.25">
      <c r="B122" s="27"/>
      <c r="C122" s="27" t="str">
        <f>+CONCATENATE('Datos Generales'!K11," ","total"," ",IF('C.RecicladoresRef'!C113&lt;1560,"pequeño",IF('C.RecicladoresRef'!C113&lt;15000,"mediano","grande")))</f>
        <v>Selecccione total pequeño</v>
      </c>
      <c r="E122" s="60" t="s">
        <v>193</v>
      </c>
      <c r="F122" s="60">
        <f>'Datos Recicladores'!J217*$C$114</f>
        <v>0</v>
      </c>
      <c r="G122" s="60">
        <f>'Datos Recicladores'!M217</f>
        <v>0</v>
      </c>
      <c r="H122" s="60">
        <f t="shared" si="2"/>
        <v>0</v>
      </c>
      <c r="I122" s="1190">
        <f>+IF(F122&gt;0,PMT($C$34,IF('Datos Recicladores'!$O$146="",'Datos Recicladores'!$P$146,'Datos Recicladores'!$O$146)*12,-'C.RecicladoresRef'!H122),0)</f>
        <v>0</v>
      </c>
      <c r="J122" s="1190"/>
      <c r="K122" s="1190"/>
      <c r="M122" t="b">
        <f>+'C.Recicladores'!M122</f>
        <v>1</v>
      </c>
      <c r="N122" t="b">
        <f>+'C.Recicladores'!N122</f>
        <v>0</v>
      </c>
      <c r="O122" t="b">
        <f>+'C.Recicladores'!O122</f>
        <v>0</v>
      </c>
      <c r="Q122" s="2">
        <f t="shared" si="3"/>
        <v>0</v>
      </c>
      <c r="R122" s="2">
        <f t="shared" si="3"/>
        <v>0</v>
      </c>
      <c r="S122" s="2">
        <f t="shared" si="3"/>
        <v>0</v>
      </c>
    </row>
    <row r="123" spans="2:19" x14ac:dyDescent="0.25">
      <c r="E123" s="61" t="s">
        <v>322</v>
      </c>
      <c r="F123" s="61">
        <f>'Datos Recicladores'!J218*$C$114</f>
        <v>0</v>
      </c>
      <c r="G123" s="61">
        <f>'Datos Recicladores'!M218</f>
        <v>0</v>
      </c>
      <c r="H123" s="61">
        <f t="shared" si="2"/>
        <v>0</v>
      </c>
      <c r="I123" s="1199">
        <f>+IF(F123&gt;0,PMT($C$34,IF('Datos Recicladores'!$O$146="",'Datos Recicladores'!$P$146,'Datos Recicladores'!$O$146)*12,-'C.RecicladoresRef'!H123),0)</f>
        <v>0</v>
      </c>
      <c r="J123" s="1199"/>
      <c r="K123" s="1199"/>
      <c r="M123" t="b">
        <f>+'C.Recicladores'!M123</f>
        <v>1</v>
      </c>
      <c r="N123" t="b">
        <f>+'C.Recicladores'!N123</f>
        <v>0</v>
      </c>
      <c r="O123" t="b">
        <f>+'C.Recicladores'!O123</f>
        <v>0</v>
      </c>
      <c r="Q123" s="2">
        <f>+IF(M123=TRUE,$I123,0)</f>
        <v>0</v>
      </c>
      <c r="R123" s="2">
        <f t="shared" si="3"/>
        <v>0</v>
      </c>
      <c r="S123" s="2">
        <f t="shared" si="3"/>
        <v>0</v>
      </c>
    </row>
    <row r="124" spans="2:19" x14ac:dyDescent="0.25">
      <c r="E124" s="60" t="s">
        <v>195</v>
      </c>
      <c r="F124" s="60">
        <f>'Datos Recicladores'!J219*$C$114</f>
        <v>0</v>
      </c>
      <c r="G124" s="60">
        <f>'Datos Recicladores'!M219</f>
        <v>0</v>
      </c>
      <c r="H124" s="60">
        <f t="shared" si="2"/>
        <v>0</v>
      </c>
      <c r="I124" s="1190">
        <f>+IF(F124&gt;0,PMT($C$34,IF('Datos Recicladores'!$O$146="",'Datos Recicladores'!$P$146,'Datos Recicladores'!$O$146)*12,-'C.RecicladoresRef'!H124),0)</f>
        <v>0</v>
      </c>
      <c r="J124" s="1190"/>
      <c r="K124" s="1190"/>
      <c r="M124" t="b">
        <f>+'C.Recicladores'!M124</f>
        <v>1</v>
      </c>
      <c r="N124" t="b">
        <f>+'C.Recicladores'!N124</f>
        <v>0</v>
      </c>
      <c r="O124" t="b">
        <f>+'C.Recicladores'!O124</f>
        <v>0</v>
      </c>
      <c r="Q124" s="2">
        <f t="shared" si="3"/>
        <v>0</v>
      </c>
      <c r="R124" s="2">
        <f t="shared" si="3"/>
        <v>0</v>
      </c>
      <c r="S124" s="2">
        <f t="shared" si="3"/>
        <v>0</v>
      </c>
    </row>
    <row r="125" spans="2:19" x14ac:dyDescent="0.25">
      <c r="E125" s="61" t="s">
        <v>196</v>
      </c>
      <c r="F125" s="61">
        <f>'Datos Recicladores'!J220*$C$114</f>
        <v>0</v>
      </c>
      <c r="G125" s="61">
        <f>'Datos Recicladores'!M220</f>
        <v>0</v>
      </c>
      <c r="H125" s="61">
        <f t="shared" si="2"/>
        <v>0</v>
      </c>
      <c r="I125" s="1199">
        <f>+IF(F125&gt;0,PMT($C$34,IF('Datos Recicladores'!$O$146="",'Datos Recicladores'!$P$146,'Datos Recicladores'!$O$146)*12,-'C.RecicladoresRef'!H125),0)</f>
        <v>0</v>
      </c>
      <c r="J125" s="1199"/>
      <c r="K125" s="1199"/>
      <c r="M125" t="b">
        <f>+'C.Recicladores'!M125</f>
        <v>1</v>
      </c>
      <c r="N125" t="b">
        <f>+'C.Recicladores'!N125</f>
        <v>0</v>
      </c>
      <c r="O125" t="b">
        <f>+'C.Recicladores'!O125</f>
        <v>0</v>
      </c>
      <c r="Q125" s="2">
        <f t="shared" si="3"/>
        <v>0</v>
      </c>
      <c r="R125" s="2">
        <f t="shared" si="3"/>
        <v>0</v>
      </c>
      <c r="S125" s="2">
        <f t="shared" si="3"/>
        <v>0</v>
      </c>
    </row>
    <row r="126" spans="2:19" x14ac:dyDescent="0.25">
      <c r="E126" s="60" t="s">
        <v>197</v>
      </c>
      <c r="F126" s="60">
        <f>'Datos Recicladores'!J221*$C$114</f>
        <v>0</v>
      </c>
      <c r="G126" s="60">
        <f>'Datos Recicladores'!M221</f>
        <v>0</v>
      </c>
      <c r="H126" s="60">
        <f t="shared" si="2"/>
        <v>0</v>
      </c>
      <c r="I126" s="1190">
        <f>+IF(F126&gt;0,PMT($C$34,IF('Datos Recicladores'!$O$146="",'Datos Recicladores'!$P$146,'Datos Recicladores'!$O$146)*12,-'C.RecicladoresRef'!H126),0)</f>
        <v>0</v>
      </c>
      <c r="J126" s="1190"/>
      <c r="K126" s="1190"/>
      <c r="M126" t="b">
        <f>+'C.Recicladores'!M126</f>
        <v>1</v>
      </c>
      <c r="N126" t="b">
        <f>+'C.Recicladores'!N126</f>
        <v>0</v>
      </c>
      <c r="O126" t="b">
        <f>+'C.Recicladores'!O126</f>
        <v>0</v>
      </c>
      <c r="Q126" s="2">
        <f t="shared" si="3"/>
        <v>0</v>
      </c>
      <c r="R126" s="2">
        <f t="shared" si="3"/>
        <v>0</v>
      </c>
      <c r="S126" s="2">
        <f t="shared" si="3"/>
        <v>0</v>
      </c>
    </row>
    <row r="127" spans="2:19" x14ac:dyDescent="0.25">
      <c r="E127" t="str">
        <f>+'Datos Prestador'!D210</f>
        <v>Embaladora automática</v>
      </c>
      <c r="F127" s="29">
        <f>+IF('Datos Prestador'!G210="",'Datos Prestador'!J210,'Datos Prestador'!G210)*C114</f>
        <v>0</v>
      </c>
      <c r="G127">
        <f>+IF('Datos Prestador'!H210="",'Datos Prestador'!M210,'Datos Prestador'!H210)</f>
        <v>39000</v>
      </c>
      <c r="H127" s="61">
        <f t="shared" si="2"/>
        <v>0</v>
      </c>
      <c r="I127" s="1199">
        <f>+IF(F127&gt;0,PMT($C$34,IF('Datos Prestador'!$O$145="",'Datos Prestador'!$P$145,'Datos Prestador'!$O$145)*12,-'C.Prestador'!H127),0)</f>
        <v>0</v>
      </c>
      <c r="J127" s="1199"/>
      <c r="K127" s="1199"/>
      <c r="M127" t="b">
        <f>+'C.Recicladores'!M127</f>
        <v>1</v>
      </c>
      <c r="N127" t="b">
        <f>+'C.Recicladores'!N127</f>
        <v>0</v>
      </c>
      <c r="O127" t="b">
        <f>+'C.Recicladores'!O127</f>
        <v>0</v>
      </c>
      <c r="Q127" s="2">
        <f>+IF(M127=TRUE,$I127,0)</f>
        <v>0</v>
      </c>
      <c r="R127" s="2">
        <f>+IF(N127=TRUE,$I127,0)</f>
        <v>0</v>
      </c>
      <c r="S127" s="2">
        <f>+IF(O127=TRUE,$I127,0)</f>
        <v>0</v>
      </c>
    </row>
    <row r="128" spans="2:19" x14ac:dyDescent="0.25">
      <c r="E128" s="62" t="s">
        <v>9</v>
      </c>
      <c r="H128" s="32">
        <f>+SUM(H100:H127)</f>
        <v>0</v>
      </c>
      <c r="I128" s="1198">
        <f>+SUM(I100:K127)</f>
        <v>0</v>
      </c>
      <c r="J128" s="1198"/>
      <c r="K128" s="1198"/>
      <c r="P128" s="10" t="s">
        <v>9</v>
      </c>
      <c r="Q128" s="63">
        <f>+SUM(Q100:Q127)</f>
        <v>0</v>
      </c>
      <c r="R128" s="63">
        <f>+SUM(R100:R127)</f>
        <v>0</v>
      </c>
      <c r="S128" s="63">
        <f>+SUM(S100:S127)</f>
        <v>0</v>
      </c>
    </row>
    <row r="131" spans="1:19" x14ac:dyDescent="0.25">
      <c r="A131" s="1206" t="s">
        <v>410</v>
      </c>
      <c r="B131" s="1206"/>
      <c r="C131" s="1206"/>
      <c r="E131" s="1193" t="s">
        <v>354</v>
      </c>
      <c r="F131" s="1193"/>
      <c r="G131" s="1193"/>
      <c r="H131" s="1193"/>
      <c r="I131" s="1193"/>
      <c r="J131" s="1193"/>
      <c r="K131" s="1193"/>
      <c r="L131" s="1193"/>
      <c r="M131" s="1193"/>
      <c r="N131" s="1193"/>
      <c r="O131" s="1193"/>
      <c r="P131" s="1193"/>
      <c r="Q131" s="1193"/>
      <c r="R131" s="1193"/>
      <c r="S131" s="1193"/>
    </row>
    <row r="132" spans="1:19" x14ac:dyDescent="0.25">
      <c r="A132" s="27"/>
      <c r="B132" s="27" t="s">
        <v>139</v>
      </c>
      <c r="C132" s="27" t="s">
        <v>9</v>
      </c>
    </row>
    <row r="133" spans="1:19" x14ac:dyDescent="0.25">
      <c r="A133" s="27" t="str">
        <f>+'Datos Recicladores'!M276</f>
        <v>Papel</v>
      </c>
      <c r="B133" s="28">
        <f>+IF('Datos Recicladores'!N276="",'Datos Recicladores'!O276,'Datos Recicladores'!N276)</f>
        <v>36.451251918247131</v>
      </c>
      <c r="C133" s="80">
        <f>+B133*Cálculos!G8/12</f>
        <v>0</v>
      </c>
      <c r="E133" s="75" t="s">
        <v>363</v>
      </c>
      <c r="F133" s="75" t="s">
        <v>110</v>
      </c>
      <c r="G133" s="75" t="s">
        <v>110</v>
      </c>
    </row>
    <row r="134" spans="1:19" x14ac:dyDescent="0.25">
      <c r="A134" s="27" t="str">
        <f>+'Datos Recicladores'!M277</f>
        <v>Cartón</v>
      </c>
      <c r="B134" s="28">
        <f>+IF('Datos Recicladores'!N277="",'Datos Recicladores'!O277,'Datos Recicladores'!N277)</f>
        <v>18.225625959123565</v>
      </c>
      <c r="C134" s="80">
        <f>+B134*Cálculos!G9/12</f>
        <v>0</v>
      </c>
      <c r="E134" s="4" t="s">
        <v>357</v>
      </c>
      <c r="F134" s="69" t="e">
        <f>+IF(C104=TRUE,HLOOKUP('C.RecicladoresRef'!C120,Referencias!H166:J171,2,0)+HLOOKUP('C.RecicladoresRef'!C120,Referencias!H166:J171,3,0),HLOOKUP('C.RecicladoresRef'!C120,Referencias!H166:J171,2,0)+HLOOKUP('C.RecicladoresRef'!C120,Referencias!H166:J171,3,0))</f>
        <v>#DIV/0!</v>
      </c>
      <c r="G134" s="69" t="e">
        <f>+F134*$C$114</f>
        <v>#DIV/0!</v>
      </c>
    </row>
    <row r="135" spans="1:19" x14ac:dyDescent="0.25">
      <c r="A135" s="27" t="str">
        <f>+'Datos Recicladores'!M278</f>
        <v>Vidrio</v>
      </c>
      <c r="B135" s="28">
        <f>+IF('Datos Recicladores'!N278="",'Datos Recicladores'!O278,'Datos Recicladores'!N278)</f>
        <v>18.225625959123565</v>
      </c>
      <c r="C135" s="80">
        <f>+B135*Cálculos!G10/12</f>
        <v>0</v>
      </c>
      <c r="E135" s="4" t="s">
        <v>159</v>
      </c>
      <c r="F135" s="4">
        <f>+IF('C.RecicladoresRef'!C104=TRUE,'Datos Recicladores'!P155,'Datos Recicladores'!P155*(ROUNDUP('C.RecicladoresRef'!F134/20,0)))</f>
        <v>0</v>
      </c>
      <c r="G135" s="69">
        <f>+F135*$C$114</f>
        <v>0</v>
      </c>
    </row>
    <row r="136" spans="1:19" x14ac:dyDescent="0.25">
      <c r="A136" s="27" t="str">
        <f>+'Datos Recicladores'!M279</f>
        <v>Plástico</v>
      </c>
      <c r="B136" s="28">
        <f>+IF('Datos Recicladores'!N279="",'Datos Recicladores'!O279,'Datos Recicladores'!N279)</f>
        <v>36.451251918247131</v>
      </c>
      <c r="C136" s="80">
        <f>+B136*Cálculos!G11/12</f>
        <v>0</v>
      </c>
      <c r="E136" s="4" t="s">
        <v>345</v>
      </c>
      <c r="F136" s="4">
        <f>'Datos Recicladores'!P157</f>
        <v>1</v>
      </c>
      <c r="G136" s="69">
        <f>+F136*$C$114</f>
        <v>0</v>
      </c>
    </row>
    <row r="137" spans="1:19" x14ac:dyDescent="0.25">
      <c r="A137" s="27" t="str">
        <f>+'Datos Recicladores'!M280</f>
        <v>Metal</v>
      </c>
      <c r="B137" s="28">
        <f>+IF('Datos Recicladores'!N280="",'Datos Recicladores'!O280,'Datos Recicladores'!N280)</f>
        <v>54.6768778773707</v>
      </c>
      <c r="C137" s="80">
        <f>+B137*Cálculos!G12/12</f>
        <v>0</v>
      </c>
    </row>
    <row r="138" spans="1:19" ht="36" customHeight="1" x14ac:dyDescent="0.25">
      <c r="A138" s="27" t="str">
        <f>+'Datos Recicladores'!M281</f>
        <v>Otros reciclables</v>
      </c>
      <c r="B138" s="28">
        <f>+IF('Datos Recicladores'!N281="",'Datos Recicladores'!O281,'Datos Recicladores'!N281)</f>
        <v>9.1128129795617827</v>
      </c>
      <c r="C138" s="80">
        <f>+B138*Cálculos!G13/12</f>
        <v>0</v>
      </c>
      <c r="E138" t="s">
        <v>136</v>
      </c>
      <c r="G138" s="65" t="s">
        <v>355</v>
      </c>
      <c r="H138" s="1191" t="str">
        <f>+'Datos Recicladores'!$N$169</f>
        <v>Supervisor</v>
      </c>
      <c r="I138" s="1191"/>
      <c r="J138" s="1192" t="str">
        <f>+'Datos Recicladores'!$O$169</f>
        <v>Coordinador operativo del centro de acopio</v>
      </c>
      <c r="K138" s="1192"/>
      <c r="M138" t="s">
        <v>125</v>
      </c>
      <c r="N138" t="s">
        <v>424</v>
      </c>
      <c r="O138" t="s">
        <v>137</v>
      </c>
      <c r="P138" t="s">
        <v>125</v>
      </c>
      <c r="Q138" s="10" t="s">
        <v>424</v>
      </c>
      <c r="R138" s="10" t="s">
        <v>137</v>
      </c>
    </row>
    <row r="139" spans="1:19" x14ac:dyDescent="0.25">
      <c r="A139" s="27"/>
      <c r="B139" s="70" t="s">
        <v>9</v>
      </c>
      <c r="C139" s="81">
        <f>+SUM(C133:C138)</f>
        <v>0</v>
      </c>
      <c r="E139" t="s">
        <v>128</v>
      </c>
      <c r="G139" s="47">
        <f>+'Datos Recicladores'!$M$170</f>
        <v>0</v>
      </c>
      <c r="H139" s="1196">
        <f>+'Datos Recicladores'!$N$170</f>
        <v>0</v>
      </c>
      <c r="I139" s="1197"/>
      <c r="J139" s="1196">
        <f>+'Datos Recicladores'!$O$170</f>
        <v>0</v>
      </c>
      <c r="K139" s="1197"/>
      <c r="M139" s="52"/>
    </row>
    <row r="140" spans="1:19" x14ac:dyDescent="0.25">
      <c r="E140" t="s">
        <v>129</v>
      </c>
      <c r="G140" s="47">
        <f>+'Datos Recicladores'!$M$171</f>
        <v>0</v>
      </c>
      <c r="H140" s="1196">
        <f>+'Datos Recicladores'!$N$171</f>
        <v>0</v>
      </c>
      <c r="I140" s="1197"/>
      <c r="J140" s="1196">
        <f>+'Datos Recicladores'!$O$171</f>
        <v>0</v>
      </c>
      <c r="K140" s="1197"/>
      <c r="L140" s="52" t="str">
        <f>+G138</f>
        <v>Operario de separación, embalaje, báscula y minicargador</v>
      </c>
      <c r="M140" t="b">
        <f>+'C.Recicladores'!M140</f>
        <v>1</v>
      </c>
      <c r="N140" t="b">
        <f>+'C.Recicladores'!N140</f>
        <v>0</v>
      </c>
      <c r="O140" t="b">
        <f>+'C.Recicladores'!O140</f>
        <v>0</v>
      </c>
      <c r="P140" s="2" t="e">
        <f>+IF(M140=TRUE,G147,0)</f>
        <v>#DIV/0!</v>
      </c>
      <c r="Q140" s="2">
        <f>+IF(N140=TRUE,G147,0)</f>
        <v>0</v>
      </c>
      <c r="R140" s="2">
        <f>+IF(O140=TRUE,G147,0)</f>
        <v>0</v>
      </c>
    </row>
    <row r="141" spans="1:19" x14ac:dyDescent="0.25">
      <c r="E141" t="s">
        <v>130</v>
      </c>
      <c r="G141" s="49">
        <f>+G$139*'Datos Recicladores'!M172</f>
        <v>0</v>
      </c>
      <c r="H141" s="1194">
        <f>+H$139*'Datos Recicladores'!N$172</f>
        <v>0</v>
      </c>
      <c r="I141" s="1195"/>
      <c r="J141" s="1194">
        <f>+J$139*'Datos Recicladores'!O$172</f>
        <v>0</v>
      </c>
      <c r="K141" s="1195"/>
      <c r="L141" s="52" t="str">
        <f>+H138</f>
        <v>Supervisor</v>
      </c>
      <c r="M141" t="b">
        <f>+'C.Recicladores'!M141</f>
        <v>1</v>
      </c>
      <c r="N141" t="b">
        <f>+'C.Recicladores'!N141</f>
        <v>0</v>
      </c>
      <c r="O141" t="b">
        <f>+'C.Recicladores'!O141</f>
        <v>0</v>
      </c>
      <c r="P141" s="2">
        <f>+IF(M141=TRUE,H147,0)</f>
        <v>0</v>
      </c>
      <c r="Q141" s="2">
        <f>+IF(N141=TRUE,H147,0)</f>
        <v>0</v>
      </c>
      <c r="R141" s="2">
        <f>+IF(O141=TRUE,H147,0)</f>
        <v>0</v>
      </c>
    </row>
    <row r="142" spans="1:19" x14ac:dyDescent="0.25">
      <c r="E142" t="s">
        <v>131</v>
      </c>
      <c r="G142" s="49">
        <f>+G$139*'Datos Recicladores'!M173</f>
        <v>0</v>
      </c>
      <c r="H142" s="1194">
        <f>+H$139*'Datos Recicladores'!N$172</f>
        <v>0</v>
      </c>
      <c r="I142" s="1195"/>
      <c r="J142" s="1194">
        <f>+J$139*'Datos Recicladores'!O$172</f>
        <v>0</v>
      </c>
      <c r="K142" s="1195"/>
      <c r="L142" s="52" t="str">
        <f>+J138</f>
        <v>Coordinador operativo del centro de acopio</v>
      </c>
      <c r="M142" t="b">
        <f>+'C.Recicladores'!M142</f>
        <v>1</v>
      </c>
      <c r="N142" t="b">
        <f>+'C.Recicladores'!N142</f>
        <v>0</v>
      </c>
      <c r="O142" t="b">
        <f>+'C.Recicladores'!O142</f>
        <v>0</v>
      </c>
      <c r="P142" s="2">
        <f>+IF(M142=TRUE,J147,0)</f>
        <v>0</v>
      </c>
      <c r="Q142" s="2">
        <f>+IF(N142=TRUE,J147,0)</f>
        <v>0</v>
      </c>
      <c r="R142" s="2">
        <f>+IF(O142=TRUE,J147,0)</f>
        <v>0</v>
      </c>
    </row>
    <row r="143" spans="1:19" x14ac:dyDescent="0.25">
      <c r="E143" t="s">
        <v>132</v>
      </c>
      <c r="G143" s="49">
        <f>+G$139*'Datos Recicladores'!M174</f>
        <v>0</v>
      </c>
      <c r="H143" s="1194">
        <f>+H$139*'Datos Recicladores'!N$172</f>
        <v>0</v>
      </c>
      <c r="I143" s="1195"/>
      <c r="J143" s="1194">
        <f>+J$139*'Datos Recicladores'!O$172</f>
        <v>0</v>
      </c>
      <c r="K143" s="1195"/>
      <c r="M143" s="52"/>
      <c r="O143" t="s">
        <v>9</v>
      </c>
      <c r="P143" s="63" t="e">
        <f>+SUM(P140:P142)</f>
        <v>#DIV/0!</v>
      </c>
      <c r="Q143" s="63">
        <f>+SUM(Q140:Q142)</f>
        <v>0</v>
      </c>
      <c r="R143" s="63">
        <f>+SUM(R140:R142)</f>
        <v>0</v>
      </c>
    </row>
    <row r="144" spans="1:19" x14ac:dyDescent="0.25">
      <c r="E144" t="s">
        <v>133</v>
      </c>
      <c r="G144" s="49">
        <f>+G$139*'Datos Recicladores'!M175</f>
        <v>0</v>
      </c>
      <c r="H144" s="1194">
        <f>+H$139*'Datos Recicladores'!N$172</f>
        <v>0</v>
      </c>
      <c r="I144" s="1195"/>
      <c r="J144" s="1194">
        <f>+J$139*'Datos Recicladores'!O$172</f>
        <v>0</v>
      </c>
      <c r="K144" s="1195"/>
    </row>
    <row r="145" spans="5:19" x14ac:dyDescent="0.25">
      <c r="E145" t="s">
        <v>135</v>
      </c>
      <c r="G145" s="47">
        <f>+'Datos Recicladores'!M176</f>
        <v>0</v>
      </c>
      <c r="H145" s="1196">
        <f>+'Datos Recicladores'!N176</f>
        <v>0</v>
      </c>
      <c r="I145" s="1197"/>
      <c r="J145" s="1196">
        <f>+'Datos Recicladores'!O176</f>
        <v>0</v>
      </c>
      <c r="K145" s="1197"/>
    </row>
    <row r="146" spans="5:19" x14ac:dyDescent="0.25">
      <c r="E146" s="10" t="s">
        <v>9</v>
      </c>
      <c r="F146" s="10"/>
      <c r="G146" s="49">
        <f>+SUM(G139:G145)</f>
        <v>0</v>
      </c>
      <c r="H146" s="1194">
        <f>+SUM(H139:I145)</f>
        <v>0</v>
      </c>
      <c r="I146" s="1195"/>
      <c r="J146" s="1194">
        <f>+SUM(J139:K145)</f>
        <v>0</v>
      </c>
      <c r="K146" s="1195"/>
    </row>
    <row r="147" spans="5:19" x14ac:dyDescent="0.25">
      <c r="E147" s="10" t="s">
        <v>351</v>
      </c>
      <c r="G147" s="49" t="e">
        <f>+G146*G134</f>
        <v>#DIV/0!</v>
      </c>
      <c r="H147" s="1215">
        <f>+H146*G135</f>
        <v>0</v>
      </c>
      <c r="I147" s="1215"/>
      <c r="J147" s="1216">
        <f>+J146*G136</f>
        <v>0</v>
      </c>
      <c r="K147" s="1216"/>
    </row>
    <row r="150" spans="5:19" x14ac:dyDescent="0.25">
      <c r="E150" s="1193" t="s">
        <v>290</v>
      </c>
      <c r="F150" s="1193"/>
      <c r="G150" s="1193"/>
      <c r="H150" s="1193"/>
      <c r="I150" s="1193"/>
      <c r="J150" s="1193"/>
      <c r="K150" s="1193"/>
      <c r="L150" s="1193"/>
      <c r="M150" s="1193"/>
      <c r="N150" s="1193"/>
      <c r="O150" s="1193"/>
      <c r="P150" s="1193"/>
      <c r="Q150" s="1193"/>
      <c r="R150" s="1193"/>
      <c r="S150" s="1193"/>
    </row>
    <row r="152" spans="5:19" x14ac:dyDescent="0.25">
      <c r="M152" t="s">
        <v>125</v>
      </c>
      <c r="N152" t="s">
        <v>424</v>
      </c>
      <c r="O152" t="s">
        <v>137</v>
      </c>
      <c r="P152" s="10" t="s">
        <v>125</v>
      </c>
      <c r="Q152" s="10" t="s">
        <v>424</v>
      </c>
      <c r="R152" s="10" t="s">
        <v>137</v>
      </c>
    </row>
    <row r="153" spans="5:19" x14ac:dyDescent="0.25">
      <c r="E153" t="s">
        <v>204</v>
      </c>
      <c r="F153" s="66">
        <f>'Datos Recicladores'!M241*SUM('C.RecicladoresRef'!F102:F103)</f>
        <v>0</v>
      </c>
      <c r="L153" t="s">
        <v>361</v>
      </c>
      <c r="M153" t="b">
        <f>+'C.Recicladores'!M153</f>
        <v>1</v>
      </c>
      <c r="N153" t="b">
        <f>+'C.Recicladores'!N153</f>
        <v>0</v>
      </c>
      <c r="O153" t="b">
        <f>+'C.Recicladores'!O153</f>
        <v>0</v>
      </c>
      <c r="P153" s="68">
        <f>+IF(M153=TRUE,$F$153,0)</f>
        <v>0</v>
      </c>
      <c r="Q153" s="68">
        <f>+IF(N153=TRUE,$F$153,0)</f>
        <v>0</v>
      </c>
      <c r="R153" s="68">
        <f>+IF(O153=TRUE,$F$153,0)</f>
        <v>0</v>
      </c>
    </row>
    <row r="154" spans="5:19" x14ac:dyDescent="0.25">
      <c r="L154" t="s">
        <v>362</v>
      </c>
      <c r="M154" t="b">
        <f>+'C.Recicladores'!M154</f>
        <v>1</v>
      </c>
      <c r="N154" t="b">
        <f>+'C.Recicladores'!N154</f>
        <v>0</v>
      </c>
      <c r="O154" t="b">
        <f>+'C.Recicladores'!O154</f>
        <v>0</v>
      </c>
      <c r="P154" s="68">
        <f>+IF(M154=TRUE,$F$155,0)</f>
        <v>0</v>
      </c>
      <c r="Q154" s="68">
        <f>+IF(N154=TRUE,$F$155,0)</f>
        <v>0</v>
      </c>
      <c r="R154" s="68">
        <f>+IF(O154=TRUE,$F$155,0)</f>
        <v>0</v>
      </c>
    </row>
    <row r="155" spans="5:19" x14ac:dyDescent="0.25">
      <c r="E155" t="s">
        <v>205</v>
      </c>
      <c r="F155" s="426">
        <f>2%*H128</f>
        <v>0</v>
      </c>
      <c r="P155" s="32">
        <f>+SUM(P153:P154)</f>
        <v>0</v>
      </c>
      <c r="Q155" s="32">
        <f>+SUM(Q153:Q154)</f>
        <v>0</v>
      </c>
      <c r="R155" s="32">
        <f>+SUM(R153:R154)</f>
        <v>0</v>
      </c>
    </row>
    <row r="156" spans="5:19" x14ac:dyDescent="0.25">
      <c r="E156" s="10" t="s">
        <v>268</v>
      </c>
      <c r="F156" s="32">
        <f>+F155+F153</f>
        <v>0</v>
      </c>
    </row>
    <row r="159" spans="5:19" x14ac:dyDescent="0.25">
      <c r="E159" s="1193" t="s">
        <v>292</v>
      </c>
      <c r="F159" s="1193"/>
      <c r="G159" s="1193"/>
      <c r="H159" s="1193"/>
      <c r="I159" s="1193"/>
      <c r="J159" s="1193"/>
      <c r="K159" s="1193"/>
      <c r="L159" s="1193"/>
      <c r="M159" s="1193"/>
      <c r="N159" s="1193"/>
      <c r="O159" s="1193"/>
      <c r="P159" s="1193"/>
      <c r="Q159" s="1193"/>
      <c r="R159" s="1193"/>
      <c r="S159" s="1193"/>
    </row>
    <row r="161" spans="5:19" x14ac:dyDescent="0.25">
      <c r="M161" t="s">
        <v>125</v>
      </c>
      <c r="N161" t="s">
        <v>424</v>
      </c>
      <c r="O161" t="s">
        <v>137</v>
      </c>
      <c r="P161" s="10" t="s">
        <v>472</v>
      </c>
      <c r="Q161" s="10" t="s">
        <v>424</v>
      </c>
      <c r="R161" s="10" t="s">
        <v>137</v>
      </c>
    </row>
    <row r="162" spans="5:19" x14ac:dyDescent="0.25">
      <c r="E162" t="s">
        <v>200</v>
      </c>
      <c r="F162" s="2">
        <f>'Datos Recicladores'!$J$229*'C.RecicladoresRef'!C110</f>
        <v>0</v>
      </c>
      <c r="L162" t="str">
        <f>+E162</f>
        <v>Costos de operación</v>
      </c>
      <c r="M162" t="b">
        <f>+'C.Recicladores'!M162</f>
        <v>1</v>
      </c>
      <c r="N162" t="b">
        <f>+'C.Recicladores'!N162</f>
        <v>0</v>
      </c>
      <c r="O162" t="b">
        <f>+'C.Recicladores'!O162</f>
        <v>0</v>
      </c>
      <c r="P162" s="63">
        <f>+IF(M162=TRUE,$F162,0)</f>
        <v>0</v>
      </c>
      <c r="Q162" s="68">
        <f t="shared" ref="Q162:R164" si="4">+IF(N162=TRUE,$F162,0)</f>
        <v>0</v>
      </c>
      <c r="R162" s="68">
        <f t="shared" si="4"/>
        <v>0</v>
      </c>
    </row>
    <row r="163" spans="5:19" x14ac:dyDescent="0.25">
      <c r="E163" t="s">
        <v>201</v>
      </c>
      <c r="F163" s="29" t="e">
        <f>'Datos Recicladores'!$J$230*C114</f>
        <v>#DIV/0!</v>
      </c>
      <c r="L163" t="str">
        <f>+E163</f>
        <v>Mantenimiento de maquinaria y equipo</v>
      </c>
      <c r="M163" t="b">
        <f>+'C.Recicladores'!M163</f>
        <v>1</v>
      </c>
      <c r="N163" t="b">
        <f>+'C.Recicladores'!N163</f>
        <v>0</v>
      </c>
      <c r="O163" t="b">
        <f>+'C.Recicladores'!O163</f>
        <v>0</v>
      </c>
      <c r="P163" s="63" t="e">
        <f>+IF(M163=TRUE,$F163,0)</f>
        <v>#DIV/0!</v>
      </c>
      <c r="Q163" s="68">
        <f t="shared" si="4"/>
        <v>0</v>
      </c>
      <c r="R163" s="68">
        <f t="shared" si="4"/>
        <v>0</v>
      </c>
    </row>
    <row r="164" spans="5:19" x14ac:dyDescent="0.25">
      <c r="E164" t="s">
        <v>202</v>
      </c>
      <c r="F164" s="29" t="e">
        <f>'Datos Recicladores'!$J$231*C114</f>
        <v>#DIV/0!</v>
      </c>
      <c r="L164" t="str">
        <f>+E164</f>
        <v>Mantenimiento de instalaciones</v>
      </c>
      <c r="M164" t="b">
        <f>+'C.Recicladores'!M164</f>
        <v>1</v>
      </c>
      <c r="N164" t="b">
        <f>+'C.Recicladores'!N164</f>
        <v>0</v>
      </c>
      <c r="O164" t="b">
        <f>+'C.Recicladores'!O164</f>
        <v>0</v>
      </c>
      <c r="P164" s="63" t="e">
        <f>+IF(M164=TRUE,$F164,0)</f>
        <v>#DIV/0!</v>
      </c>
      <c r="Q164" s="68">
        <f t="shared" si="4"/>
        <v>0</v>
      </c>
      <c r="R164" s="68">
        <f t="shared" si="4"/>
        <v>0</v>
      </c>
    </row>
    <row r="165" spans="5:19" x14ac:dyDescent="0.25">
      <c r="O165" s="10" t="s">
        <v>9</v>
      </c>
      <c r="P165" s="32" t="e">
        <f>+SUM(P162:P164)</f>
        <v>#DIV/0!</v>
      </c>
      <c r="Q165" s="32">
        <f>+SUM(Q162:Q164)</f>
        <v>0</v>
      </c>
      <c r="R165" s="32">
        <f>+SUM(R162:R164)</f>
        <v>0</v>
      </c>
    </row>
    <row r="167" spans="5:19" x14ac:dyDescent="0.25">
      <c r="E167" s="1193" t="s">
        <v>296</v>
      </c>
      <c r="F167" s="1193"/>
      <c r="G167" s="1193"/>
      <c r="H167" s="1193"/>
      <c r="I167" s="1193"/>
      <c r="J167" s="1193"/>
      <c r="K167" s="1193"/>
      <c r="L167" s="1193"/>
      <c r="M167" s="1193"/>
      <c r="N167" s="1193"/>
      <c r="O167" s="1193"/>
      <c r="P167" s="1193"/>
      <c r="Q167" s="1193"/>
      <c r="R167" s="1193"/>
      <c r="S167" s="1193"/>
    </row>
    <row r="170" spans="5:19" ht="26.25" x14ac:dyDescent="0.25">
      <c r="M170" s="10" t="s">
        <v>86</v>
      </c>
      <c r="N170" t="s">
        <v>426</v>
      </c>
      <c r="O170" s="125" t="s">
        <v>137</v>
      </c>
      <c r="P170" t="s">
        <v>125</v>
      </c>
    </row>
    <row r="171" spans="5:19" x14ac:dyDescent="0.25">
      <c r="E171" t="s">
        <v>291</v>
      </c>
      <c r="F171" s="29">
        <f>+I128</f>
        <v>0</v>
      </c>
      <c r="M171" t="s">
        <v>291</v>
      </c>
      <c r="N171" s="29">
        <f>+R128</f>
        <v>0</v>
      </c>
      <c r="O171" s="29">
        <f>+S128</f>
        <v>0</v>
      </c>
      <c r="P171" s="29">
        <f t="shared" ref="P171:P176" si="5">+IF((F171-N171-O171)&lt;0,0,F171-N171-O171)</f>
        <v>0</v>
      </c>
    </row>
    <row r="172" spans="5:19" x14ac:dyDescent="0.25">
      <c r="E172" t="s">
        <v>290</v>
      </c>
      <c r="F172" s="29">
        <f>+F156</f>
        <v>0</v>
      </c>
      <c r="M172" t="s">
        <v>290</v>
      </c>
      <c r="N172" s="29">
        <f>+Q155</f>
        <v>0</v>
      </c>
      <c r="O172" s="29">
        <f>+R155</f>
        <v>0</v>
      </c>
      <c r="P172" s="29">
        <f t="shared" si="5"/>
        <v>0</v>
      </c>
    </row>
    <row r="173" spans="5:19" x14ac:dyDescent="0.25">
      <c r="E173" t="s">
        <v>292</v>
      </c>
      <c r="F173" s="29" t="e">
        <f>+F162+F163+F164</f>
        <v>#DIV/0!</v>
      </c>
      <c r="M173" t="s">
        <v>292</v>
      </c>
      <c r="N173" s="29">
        <f>+Q165</f>
        <v>0</v>
      </c>
      <c r="O173" s="29">
        <f>+R165</f>
        <v>0</v>
      </c>
      <c r="P173" s="29" t="e">
        <f t="shared" si="5"/>
        <v>#DIV/0!</v>
      </c>
    </row>
    <row r="174" spans="5:19" x14ac:dyDescent="0.25">
      <c r="E174" t="s">
        <v>293</v>
      </c>
      <c r="F174" s="29" t="e">
        <f>+G147+H147+J147</f>
        <v>#DIV/0!</v>
      </c>
      <c r="M174" t="s">
        <v>293</v>
      </c>
      <c r="N174" s="29">
        <f>+Q143</f>
        <v>0</v>
      </c>
      <c r="O174" s="29">
        <f>+R143</f>
        <v>0</v>
      </c>
      <c r="P174" s="29" t="e">
        <f t="shared" si="5"/>
        <v>#DIV/0!</v>
      </c>
    </row>
    <row r="175" spans="5:19" x14ac:dyDescent="0.25">
      <c r="E175" t="s">
        <v>208</v>
      </c>
      <c r="F175" s="29" t="e">
        <f>+IF('Datos Recicladores'!J254="",'Datos Recicladores'!L254,'Datos Recicladores'!J254)*SUM(F171:F174)</f>
        <v>#DIV/0!</v>
      </c>
      <c r="M175" t="s">
        <v>208</v>
      </c>
      <c r="N175" s="29">
        <f>+IF(C38=TRUE,$F175,0)</f>
        <v>0</v>
      </c>
      <c r="O175" s="29" t="e">
        <f>+IF(C39=TRUE,$F175,0)</f>
        <v>#DIV/0!</v>
      </c>
      <c r="P175" s="29" t="e">
        <f t="shared" si="5"/>
        <v>#DIV/0!</v>
      </c>
    </row>
    <row r="176" spans="5:19" x14ac:dyDescent="0.25">
      <c r="E176" t="s">
        <v>294</v>
      </c>
      <c r="F176" s="29" t="e">
        <f>+SUM(F172:F175)*$C$34</f>
        <v>#DIV/0!</v>
      </c>
      <c r="M176" t="s">
        <v>294</v>
      </c>
      <c r="N176" s="29">
        <f>+SUM(N172:N175)*$C$34</f>
        <v>0</v>
      </c>
      <c r="O176" s="29" t="e">
        <f>+SUM(O172:O175)*$C$34</f>
        <v>#DIV/0!</v>
      </c>
      <c r="P176" s="29" t="e">
        <f t="shared" si="5"/>
        <v>#DIV/0!</v>
      </c>
    </row>
    <row r="177" spans="2:19" x14ac:dyDescent="0.25">
      <c r="E177" t="s">
        <v>381</v>
      </c>
      <c r="F177" s="29">
        <f>+(IF('Datos Recicladores'!O145="",'Datos Recicladores'!P145,'Datos Recicladores'!O145)*'Datos Generales'!L42)*('Datos Recicladores'!G158+'Datos Recicladores'!G159)</f>
        <v>0</v>
      </c>
      <c r="M177" t="s">
        <v>381</v>
      </c>
      <c r="N177" s="29"/>
      <c r="O177" s="29"/>
      <c r="P177" s="29">
        <f>+F177</f>
        <v>0</v>
      </c>
    </row>
    <row r="178" spans="2:19" x14ac:dyDescent="0.25">
      <c r="E178" s="10" t="s">
        <v>295</v>
      </c>
      <c r="F178" s="29" t="e">
        <f>+SUM(F171:F176)</f>
        <v>#DIV/0!</v>
      </c>
      <c r="M178" s="10" t="s">
        <v>9</v>
      </c>
      <c r="N178" s="32">
        <f>+SUM(N171:N177)</f>
        <v>0</v>
      </c>
      <c r="O178" s="32" t="e">
        <f>+SUM(O171:O177)</f>
        <v>#DIV/0!</v>
      </c>
      <c r="P178" s="32" t="e">
        <f>+SUM(P171:P177)</f>
        <v>#DIV/0!</v>
      </c>
    </row>
    <row r="179" spans="2:19" x14ac:dyDescent="0.25">
      <c r="E179" s="82" t="s">
        <v>409</v>
      </c>
      <c r="F179" s="83">
        <f>+F55</f>
        <v>0</v>
      </c>
      <c r="M179" t="s">
        <v>409</v>
      </c>
      <c r="P179" s="29">
        <f>+F179</f>
        <v>0</v>
      </c>
    </row>
    <row r="181" spans="2:19" x14ac:dyDescent="0.25">
      <c r="F181" s="2"/>
    </row>
    <row r="185" spans="2:19" ht="23.25" x14ac:dyDescent="0.25">
      <c r="B185" s="1212" t="s">
        <v>365</v>
      </c>
      <c r="C185" s="1213"/>
      <c r="D185" s="1213"/>
      <c r="E185" s="1213"/>
      <c r="F185" s="1213"/>
      <c r="G185" s="1213"/>
      <c r="H185" s="1213"/>
      <c r="I185" s="1213"/>
      <c r="J185" s="1213"/>
      <c r="K185" s="1213"/>
      <c r="L185" s="1213"/>
      <c r="M185" s="1213"/>
      <c r="N185" s="1213"/>
      <c r="O185" s="1213"/>
      <c r="P185" s="1213"/>
      <c r="Q185" s="1213"/>
      <c r="R185" s="1213"/>
      <c r="S185" s="1213"/>
    </row>
    <row r="187" spans="2:19" ht="18.75" x14ac:dyDescent="0.25">
      <c r="B187" s="804" t="s">
        <v>367</v>
      </c>
      <c r="C187" s="804"/>
      <c r="D187" s="804"/>
      <c r="E187" s="804"/>
      <c r="F187" s="804"/>
      <c r="G187" s="804"/>
      <c r="H187" s="804"/>
      <c r="I187" s="804"/>
      <c r="J187" s="804"/>
      <c r="K187" s="804"/>
      <c r="L187" s="804"/>
      <c r="M187" s="804"/>
    </row>
    <row r="189" spans="2:19" x14ac:dyDescent="0.25">
      <c r="B189" s="1214" t="s">
        <v>685</v>
      </c>
      <c r="C189" s="1214"/>
      <c r="E189" s="1214" t="s">
        <v>409</v>
      </c>
      <c r="F189" s="1214"/>
    </row>
    <row r="190" spans="2:19" x14ac:dyDescent="0.25">
      <c r="B190" s="131" t="s">
        <v>73</v>
      </c>
      <c r="C190" s="148" t="s">
        <v>406</v>
      </c>
      <c r="E190" s="131" t="s">
        <v>73</v>
      </c>
      <c r="F190" s="225" t="s">
        <v>406</v>
      </c>
    </row>
    <row r="191" spans="2:19" x14ac:dyDescent="0.25">
      <c r="B191" s="72" t="s">
        <v>3</v>
      </c>
      <c r="C191" s="73">
        <f>+IF('Datos Recicladores'!F276="",'Datos Recicladores'!G276,'Datos Recicladores'!F276)*Cálculos!G8/12</f>
        <v>0</v>
      </c>
      <c r="E191" s="72" t="s">
        <v>3</v>
      </c>
      <c r="F191" s="73">
        <f>+IF('Datos Recicladores'!N276="",'Datos Recicladores'!O276,'Datos Recicladores'!N276)*Cálculos!G8/12</f>
        <v>0</v>
      </c>
    </row>
    <row r="192" spans="2:19" x14ac:dyDescent="0.25">
      <c r="B192" s="72" t="s">
        <v>4</v>
      </c>
      <c r="C192" s="73">
        <f>+IF('Datos Recicladores'!F277="",'Datos Recicladores'!G277,'Datos Recicladores'!F277)*Cálculos!G9/12</f>
        <v>0</v>
      </c>
      <c r="E192" s="72" t="s">
        <v>4</v>
      </c>
      <c r="F192" s="73">
        <f>+IF('Datos Recicladores'!N277="",'Datos Recicladores'!O277,'Datos Recicladores'!N277)*Cálculos!G9/12</f>
        <v>0</v>
      </c>
    </row>
    <row r="193" spans="2:13" x14ac:dyDescent="0.25">
      <c r="B193" s="72" t="s">
        <v>6</v>
      </c>
      <c r="C193" s="73">
        <f>+IF('Datos Recicladores'!F278="",'Datos Recicladores'!G278,'Datos Recicladores'!F278)*Cálculos!G10/12</f>
        <v>0</v>
      </c>
      <c r="E193" s="72" t="s">
        <v>6</v>
      </c>
      <c r="F193" s="73">
        <f>+IF('Datos Recicladores'!N278="",'Datos Recicladores'!O278,'Datos Recicladores'!N278)*Cálculos!G10/12</f>
        <v>0</v>
      </c>
    </row>
    <row r="194" spans="2:13" x14ac:dyDescent="0.25">
      <c r="B194" s="72" t="s">
        <v>5</v>
      </c>
      <c r="C194" s="73">
        <f>+IF('Datos Recicladores'!F279="",'Datos Recicladores'!G279,'Datos Recicladores'!F279)*Cálculos!G11/12</f>
        <v>0</v>
      </c>
      <c r="E194" s="72" t="s">
        <v>5</v>
      </c>
      <c r="F194" s="73">
        <f>+IF('Datos Recicladores'!N279="",'Datos Recicladores'!O279,'Datos Recicladores'!N279)*Cálculos!G11/12</f>
        <v>0</v>
      </c>
    </row>
    <row r="195" spans="2:13" x14ac:dyDescent="0.25">
      <c r="B195" s="72" t="s">
        <v>7</v>
      </c>
      <c r="C195" s="73">
        <f>+IF('Datos Recicladores'!F280="",'Datos Recicladores'!G280,'Datos Recicladores'!F280)*Cálculos!G12/12</f>
        <v>0</v>
      </c>
      <c r="E195" s="72" t="s">
        <v>7</v>
      </c>
      <c r="F195" s="73">
        <f>+IF('Datos Recicladores'!N280="",'Datos Recicladores'!O280,'Datos Recicladores'!N280)*Cálculos!G12/12</f>
        <v>0</v>
      </c>
    </row>
    <row r="196" spans="2:13" x14ac:dyDescent="0.25">
      <c r="B196" s="72" t="s">
        <v>72</v>
      </c>
      <c r="C196" s="73">
        <f>+IF('Datos Recicladores'!F281="",'Datos Recicladores'!G281,'Datos Recicladores'!F281)*Cálculos!G13/12</f>
        <v>0</v>
      </c>
      <c r="E196" s="72" t="s">
        <v>72</v>
      </c>
      <c r="F196" s="73">
        <f>+IF('Datos Recicladores'!N281="",'Datos Recicladores'!O281,'Datos Recicladores'!N281)*Cálculos!G13/12</f>
        <v>0</v>
      </c>
    </row>
    <row r="197" spans="2:13" x14ac:dyDescent="0.25">
      <c r="B197" s="72" t="s">
        <v>9</v>
      </c>
      <c r="C197" s="73">
        <f>+SUM(C191:C196)</f>
        <v>0</v>
      </c>
      <c r="E197" s="72" t="s">
        <v>9</v>
      </c>
      <c r="F197" s="73">
        <f>+SUM(F191:F196)</f>
        <v>0</v>
      </c>
    </row>
    <row r="198" spans="2:13" x14ac:dyDescent="0.25">
      <c r="C198" s="29"/>
    </row>
    <row r="200" spans="2:13" ht="18.75" x14ac:dyDescent="0.25">
      <c r="B200" s="804" t="s">
        <v>377</v>
      </c>
      <c r="C200" s="804"/>
      <c r="D200" s="804"/>
      <c r="E200" s="804"/>
      <c r="F200" s="804"/>
      <c r="G200" s="804"/>
      <c r="H200" s="804"/>
      <c r="I200" s="804"/>
      <c r="J200" s="804"/>
      <c r="K200" s="804"/>
      <c r="L200" s="804"/>
      <c r="M200" s="804"/>
    </row>
    <row r="202" spans="2:13" x14ac:dyDescent="0.25">
      <c r="B202" t="s">
        <v>407</v>
      </c>
      <c r="C202" t="s">
        <v>408</v>
      </c>
    </row>
    <row r="203" spans="2:13" x14ac:dyDescent="0.25">
      <c r="B203" t="s">
        <v>81</v>
      </c>
      <c r="C203" s="29">
        <f>+'Datos Recicladores'!$G$287*Cálculos!G15</f>
        <v>0</v>
      </c>
    </row>
    <row r="204" spans="2:13" x14ac:dyDescent="0.25">
      <c r="B204" t="s">
        <v>121</v>
      </c>
      <c r="C204" s="29">
        <f>+'Datos Recicladores'!$N$287*Cálculos!G15</f>
        <v>0</v>
      </c>
    </row>
    <row r="207" spans="2:13" ht="18.75" x14ac:dyDescent="0.25">
      <c r="B207" s="804" t="s">
        <v>373</v>
      </c>
      <c r="C207" s="804"/>
      <c r="D207" s="804"/>
      <c r="E207" s="804"/>
      <c r="F207" s="804"/>
      <c r="G207" s="804"/>
      <c r="H207" s="804"/>
      <c r="I207" s="804"/>
      <c r="J207" s="804"/>
      <c r="K207" s="804"/>
      <c r="L207" s="804"/>
      <c r="M207" s="804"/>
    </row>
    <row r="209" spans="2:18" x14ac:dyDescent="0.25">
      <c r="B209" t="s">
        <v>374</v>
      </c>
      <c r="C209" t="b">
        <f>+'C.Recicladores'!C209</f>
        <v>0</v>
      </c>
      <c r="E209" t="s">
        <v>379</v>
      </c>
      <c r="F209" s="2">
        <f>+'C.Recicladores'!F209</f>
        <v>0</v>
      </c>
    </row>
    <row r="210" spans="2:18" x14ac:dyDescent="0.25">
      <c r="B210" t="s">
        <v>375</v>
      </c>
      <c r="C210" t="b">
        <f>+'C.Recicladores'!C210</f>
        <v>0</v>
      </c>
      <c r="E210" t="s">
        <v>380</v>
      </c>
      <c r="F210" s="2">
        <f>+'C.Recicladores'!F210</f>
        <v>0</v>
      </c>
    </row>
    <row r="211" spans="2:18" x14ac:dyDescent="0.25">
      <c r="B211" t="s">
        <v>376</v>
      </c>
      <c r="C211" t="b">
        <f>+'C.Recicladores'!C211</f>
        <v>1</v>
      </c>
    </row>
    <row r="214" spans="2:18" x14ac:dyDescent="0.25">
      <c r="E214" s="1193" t="s">
        <v>400</v>
      </c>
      <c r="F214" s="1193"/>
      <c r="G214" s="1193"/>
      <c r="H214" s="1193"/>
      <c r="I214" s="1193"/>
      <c r="J214" s="1193"/>
      <c r="K214" s="1193"/>
      <c r="L214" s="1193"/>
      <c r="M214" s="1193"/>
      <c r="N214" s="1193"/>
      <c r="O214" s="1193"/>
      <c r="P214" s="1193"/>
      <c r="Q214" s="1193"/>
      <c r="R214" s="1193"/>
    </row>
    <row r="217" spans="2:18" x14ac:dyDescent="0.25">
      <c r="E217" t="s">
        <v>411</v>
      </c>
      <c r="F217" s="29">
        <f>+C197</f>
        <v>0</v>
      </c>
    </row>
    <row r="218" spans="2:18" x14ac:dyDescent="0.25">
      <c r="E218" t="s">
        <v>412</v>
      </c>
      <c r="F218" s="29">
        <f>+C203+C204</f>
        <v>0</v>
      </c>
    </row>
    <row r="219" spans="2:18" x14ac:dyDescent="0.25">
      <c r="E219" t="s">
        <v>413</v>
      </c>
      <c r="F219" s="29">
        <f>+F209</f>
        <v>0</v>
      </c>
    </row>
    <row r="220" spans="2:18" x14ac:dyDescent="0.25">
      <c r="E220" t="s">
        <v>414</v>
      </c>
      <c r="F220" s="29">
        <f>+F210*(F16*F24+F17*F24+H16*H24)</f>
        <v>0</v>
      </c>
    </row>
    <row r="221" spans="2:18" x14ac:dyDescent="0.25">
      <c r="E221" t="s">
        <v>415</v>
      </c>
      <c r="F221" s="29" t="e">
        <f>+F210*(G134+G135+G136)</f>
        <v>#DIV/0!</v>
      </c>
    </row>
    <row r="222" spans="2:18" x14ac:dyDescent="0.25">
      <c r="E222" t="s">
        <v>9</v>
      </c>
      <c r="F222" s="29" t="e">
        <f>+SUM(F217:F221)</f>
        <v>#DIV/0!</v>
      </c>
    </row>
  </sheetData>
  <mergeCells count="78">
    <mergeCell ref="B187:M187"/>
    <mergeCell ref="B200:M200"/>
    <mergeCell ref="B207:M207"/>
    <mergeCell ref="E214:R214"/>
    <mergeCell ref="H147:I147"/>
    <mergeCell ref="J147:K147"/>
    <mergeCell ref="E150:S150"/>
    <mergeCell ref="E159:S159"/>
    <mergeCell ref="E167:S167"/>
    <mergeCell ref="B185:S185"/>
    <mergeCell ref="E189:F189"/>
    <mergeCell ref="B189:C189"/>
    <mergeCell ref="H144:I144"/>
    <mergeCell ref="J144:K144"/>
    <mergeCell ref="H145:I145"/>
    <mergeCell ref="J145:K145"/>
    <mergeCell ref="H146:I146"/>
    <mergeCell ref="J146:K146"/>
    <mergeCell ref="H141:I141"/>
    <mergeCell ref="J141:K141"/>
    <mergeCell ref="H142:I142"/>
    <mergeCell ref="J142:K142"/>
    <mergeCell ref="H143:I143"/>
    <mergeCell ref="J143:K143"/>
    <mergeCell ref="H138:I138"/>
    <mergeCell ref="J138:K138"/>
    <mergeCell ref="H139:I139"/>
    <mergeCell ref="J139:K139"/>
    <mergeCell ref="H140:I140"/>
    <mergeCell ref="J140:K140"/>
    <mergeCell ref="I124:K124"/>
    <mergeCell ref="I125:K125"/>
    <mergeCell ref="I126:K126"/>
    <mergeCell ref="I128:K128"/>
    <mergeCell ref="A131:C131"/>
    <mergeCell ref="E131:S131"/>
    <mergeCell ref="I127:K127"/>
    <mergeCell ref="I123:K123"/>
    <mergeCell ref="I112:K112"/>
    <mergeCell ref="I113:K113"/>
    <mergeCell ref="I114:K114"/>
    <mergeCell ref="I115:K115"/>
    <mergeCell ref="I116:K116"/>
    <mergeCell ref="I117:K117"/>
    <mergeCell ref="I118:K118"/>
    <mergeCell ref="I119:K119"/>
    <mergeCell ref="I120:K120"/>
    <mergeCell ref="I121:K121"/>
    <mergeCell ref="I122:K122"/>
    <mergeCell ref="I111:K111"/>
    <mergeCell ref="I100:K100"/>
    <mergeCell ref="I101:K101"/>
    <mergeCell ref="I102:K102"/>
    <mergeCell ref="I103:K103"/>
    <mergeCell ref="I104:K104"/>
    <mergeCell ref="I105:K105"/>
    <mergeCell ref="I106:K106"/>
    <mergeCell ref="I107:K107"/>
    <mergeCell ref="I108:K108"/>
    <mergeCell ref="I109:K109"/>
    <mergeCell ref="I110:K110"/>
    <mergeCell ref="I99:K99"/>
    <mergeCell ref="E36:S36"/>
    <mergeCell ref="I40:J40"/>
    <mergeCell ref="I41:J41"/>
    <mergeCell ref="I42:J42"/>
    <mergeCell ref="I43:J43"/>
    <mergeCell ref="E47:S47"/>
    <mergeCell ref="E57:S57"/>
    <mergeCell ref="E71:S71"/>
    <mergeCell ref="E82:S82"/>
    <mergeCell ref="B94:S94"/>
    <mergeCell ref="E97:S97"/>
    <mergeCell ref="B3:S3"/>
    <mergeCell ref="B5:C5"/>
    <mergeCell ref="E5:I5"/>
    <mergeCell ref="E35:K35"/>
    <mergeCell ref="M35:R35"/>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tabColor theme="5" tint="0.39997558519241921"/>
  </sheetPr>
  <dimension ref="A3:V222"/>
  <sheetViews>
    <sheetView showGridLines="0" topLeftCell="C68" zoomScaleNormal="100" workbookViewId="0">
      <selection activeCell="K41" sqref="K41"/>
    </sheetView>
  </sheetViews>
  <sheetFormatPr baseColWidth="10" defaultColWidth="11.5703125" defaultRowHeight="15" x14ac:dyDescent="0.25"/>
  <cols>
    <col min="1" max="1" width="8.85546875" customWidth="1"/>
    <col min="2" max="2" width="32.42578125" customWidth="1"/>
    <col min="3" max="3" width="27.5703125" customWidth="1"/>
    <col min="4" max="4" width="3.5703125" customWidth="1"/>
    <col min="5" max="5" width="34.140625" customWidth="1"/>
    <col min="6" max="6" width="36.140625" customWidth="1"/>
    <col min="7" max="7" width="27.28515625" bestFit="1" customWidth="1"/>
    <col min="8" max="8" width="27.42578125" customWidth="1"/>
    <col min="9" max="9" width="17.28515625" customWidth="1"/>
    <col min="10" max="10" width="2.28515625" customWidth="1"/>
    <col min="11" max="11" width="24.85546875" customWidth="1"/>
    <col min="12" max="15" width="22.5703125" customWidth="1"/>
    <col min="16" max="16" width="22.85546875" customWidth="1"/>
    <col min="17" max="17" width="23.7109375" customWidth="1"/>
    <col min="18" max="19" width="38.140625" bestFit="1" customWidth="1"/>
    <col min="21" max="21" width="13.140625" bestFit="1" customWidth="1"/>
    <col min="22" max="22" width="18.85546875" customWidth="1"/>
    <col min="23" max="23" width="15.5703125" bestFit="1" customWidth="1"/>
  </cols>
  <sheetData>
    <row r="3" spans="2:19" ht="45" customHeight="1" x14ac:dyDescent="0.25">
      <c r="B3" s="1200" t="s">
        <v>142</v>
      </c>
      <c r="C3" s="1201"/>
      <c r="D3" s="1201"/>
      <c r="E3" s="1201"/>
      <c r="F3" s="1201"/>
      <c r="G3" s="1201"/>
      <c r="H3" s="1201"/>
      <c r="I3" s="1201"/>
      <c r="J3" s="1201"/>
      <c r="K3" s="1201"/>
      <c r="L3" s="1201"/>
      <c r="M3" s="1201"/>
      <c r="N3" s="1201"/>
      <c r="O3" s="1201"/>
      <c r="P3" s="1201"/>
      <c r="Q3" s="1201"/>
      <c r="R3" s="1201"/>
      <c r="S3" s="1201"/>
    </row>
    <row r="5" spans="2:19" ht="21" x14ac:dyDescent="0.35">
      <c r="B5" s="1211" t="s">
        <v>287</v>
      </c>
      <c r="C5" s="1211"/>
      <c r="D5" s="3"/>
      <c r="E5" s="1203" t="s">
        <v>253</v>
      </c>
      <c r="F5" s="1203"/>
      <c r="G5" s="1203"/>
      <c r="H5" s="1203"/>
      <c r="I5" s="1203"/>
      <c r="J5" s="45"/>
      <c r="K5" s="1203" t="s">
        <v>286</v>
      </c>
      <c r="L5" s="1203"/>
      <c r="M5" s="1203"/>
      <c r="N5" s="1203"/>
      <c r="O5" s="1203"/>
      <c r="P5" s="1203"/>
    </row>
    <row r="6" spans="2:19" x14ac:dyDescent="0.25">
      <c r="B6" s="27" t="s">
        <v>85</v>
      </c>
      <c r="C6" s="27">
        <v>1</v>
      </c>
      <c r="D6" s="3"/>
      <c r="E6" s="27" t="s">
        <v>257</v>
      </c>
      <c r="F6" s="27" t="str">
        <f>+'Datos Prestador'!G19</f>
        <v>Combinación de equipo de tracción manual con camión</v>
      </c>
      <c r="J6" s="3"/>
    </row>
    <row r="7" spans="2:19" x14ac:dyDescent="0.25">
      <c r="B7" s="27" t="s">
        <v>212</v>
      </c>
      <c r="C7" s="27">
        <v>2</v>
      </c>
      <c r="D7" s="3"/>
      <c r="E7" t="s">
        <v>83</v>
      </c>
      <c r="F7" t="str">
        <f>+IF('Datos Prestador'!G19="Combinación de equipo de tracción manual con camión",'Datos Prestador'!G24,'Datos Prestador'!G19)</f>
        <v>Vehículo motorizado mediano</v>
      </c>
      <c r="H7" t="str">
        <f>+IF('Datos Prestador'!G19="Combinación de Equipo de tracción manual con camión",'Datos Prestador'!O24,"")</f>
        <v>Equipo de tracción manual</v>
      </c>
      <c r="J7" s="3"/>
    </row>
    <row r="8" spans="2:19" x14ac:dyDescent="0.25">
      <c r="B8" s="27" t="s">
        <v>433</v>
      </c>
      <c r="C8" s="27">
        <v>3</v>
      </c>
      <c r="D8" s="3"/>
      <c r="E8" s="10" t="s">
        <v>254</v>
      </c>
      <c r="J8" s="3"/>
    </row>
    <row r="9" spans="2:19" x14ac:dyDescent="0.25">
      <c r="B9" s="27" t="s">
        <v>456</v>
      </c>
      <c r="C9" s="27">
        <v>4</v>
      </c>
      <c r="D9" s="3"/>
      <c r="E9" t="str">
        <f>+CONCATENATE("Capacidad efectiva del vehículo",(IF('Datos Prestador'!G26="Peso (Toneladas)"," TON"," M3")))</f>
        <v>Capacidad efectiva del vehículo TON</v>
      </c>
      <c r="F9" s="28">
        <f>+IF('Datos Prestador'!G27="",'Datos Prestador'!H27,'Datos Prestador'!G27)</f>
        <v>3.5</v>
      </c>
      <c r="H9" s="31">
        <f>+IF(C11&lt;4,0,IF('Datos Prestador'!O27="",'Datos Prestador'!P27,'Datos Prestador'!O27))</f>
        <v>0.25</v>
      </c>
      <c r="J9" s="3"/>
    </row>
    <row r="10" spans="2:19" x14ac:dyDescent="0.25">
      <c r="B10" s="27"/>
      <c r="C10" s="27"/>
      <c r="D10" s="3"/>
      <c r="E10" t="s">
        <v>240</v>
      </c>
      <c r="F10" s="29">
        <f>+SUM(F11:F14)</f>
        <v>1.1428571428571426</v>
      </c>
      <c r="H10" s="29">
        <f>+SUM(H11:H14)</f>
        <v>2.333333333333333</v>
      </c>
      <c r="J10" s="3"/>
    </row>
    <row r="11" spans="2:19" x14ac:dyDescent="0.25">
      <c r="B11" s="27" t="s">
        <v>102</v>
      </c>
      <c r="C11" s="27">
        <f>+IFERROR(VLOOKUP('Datos Prestador'!G19,ReferenciasP!B57:C61,2,0),"")</f>
        <v>4</v>
      </c>
      <c r="D11" s="3"/>
      <c r="E11" t="s">
        <v>242</v>
      </c>
      <c r="F11" s="28">
        <f>+IF('Datos Prestador'!G28="",'Datos Prestador'!H28,'Datos Prestador'!G28)</f>
        <v>0.476190476190476</v>
      </c>
      <c r="H11" s="31">
        <v>0</v>
      </c>
      <c r="J11" s="3"/>
      <c r="K11" t="s">
        <v>258</v>
      </c>
      <c r="M11" s="29" t="str">
        <f>+IF(AND(M12="",M13="",M14=""),"",SUM(M12:M14))</f>
        <v/>
      </c>
    </row>
    <row r="12" spans="2:19" x14ac:dyDescent="0.25">
      <c r="D12" s="3"/>
      <c r="E12" t="s">
        <v>241</v>
      </c>
      <c r="F12" s="28">
        <f>+IF('Datos Prestador'!G29="",'Datos Prestador'!H29,'Datos Prestador'!G29)</f>
        <v>0</v>
      </c>
      <c r="H12" s="31">
        <f>+IF('Datos Prestador'!O28="",'Datos Prestador'!P28,'Datos Prestador'!O28)</f>
        <v>2</v>
      </c>
      <c r="J12" s="3"/>
      <c r="K12" s="33" t="s">
        <v>85</v>
      </c>
      <c r="M12" s="31" t="str">
        <f>+IF('Datos Prestador'!G52="","",'Datos Prestador'!G52)</f>
        <v/>
      </c>
    </row>
    <row r="13" spans="2:19" x14ac:dyDescent="0.25">
      <c r="C13" s="29"/>
      <c r="D13" s="3"/>
      <c r="E13" t="s">
        <v>243</v>
      </c>
      <c r="F13" s="28">
        <f>+IF('Datos Prestador'!G30="",'Datos Prestador'!H30,'Datos Prestador'!G30)</f>
        <v>0.33333333333333331</v>
      </c>
      <c r="H13" s="31">
        <f>+IF('Datos Prestador'!O29="",'Datos Prestador'!P29,'Datos Prestador'!O29)</f>
        <v>0.16666666666666666</v>
      </c>
      <c r="J13" s="3"/>
      <c r="K13" s="33" t="s">
        <v>212</v>
      </c>
      <c r="M13" s="31" t="str">
        <f>+IF('Datos Prestador'!G53="","",'Datos Prestador'!G53)</f>
        <v/>
      </c>
    </row>
    <row r="14" spans="2:19" x14ac:dyDescent="0.25">
      <c r="D14" s="3"/>
      <c r="E14" t="s">
        <v>244</v>
      </c>
      <c r="F14" s="28">
        <f>+IF('Datos Prestador'!G31="",'Datos Prestador'!H31,'Datos Prestador'!G31)</f>
        <v>0.33333333333333331</v>
      </c>
      <c r="H14" s="31">
        <f>+IF('Datos Prestador'!O30="",'Datos Prestador'!P30,'Datos Prestador'!O30)</f>
        <v>0.16666666666666666</v>
      </c>
      <c r="J14" s="3"/>
      <c r="K14" s="33" t="s">
        <v>433</v>
      </c>
      <c r="M14" s="31" t="str">
        <f>+IF('Datos Prestador'!G54="","",'Datos Prestador'!G54)</f>
        <v/>
      </c>
    </row>
    <row r="15" spans="2:19" x14ac:dyDescent="0.25">
      <c r="B15" s="27" t="s">
        <v>105</v>
      </c>
      <c r="C15" s="27" t="str">
        <f>+'Datos Prestador'!G26</f>
        <v>Peso (Toneladas)</v>
      </c>
      <c r="D15" s="3"/>
      <c r="E15" s="10" t="s">
        <v>236</v>
      </c>
      <c r="J15" s="3"/>
      <c r="K15" s="33" t="s">
        <v>153</v>
      </c>
      <c r="M15" s="31" t="str">
        <f>+IF('Datos Prestador'!G55="","",'Datos Prestador'!G55)</f>
        <v/>
      </c>
    </row>
    <row r="16" spans="2:19" x14ac:dyDescent="0.25">
      <c r="B16" s="27" t="s">
        <v>467</v>
      </c>
      <c r="C16" s="27" t="str">
        <f>+'Datos Prestador'!O26</f>
        <v>Peso (Toneladas)</v>
      </c>
      <c r="D16" s="3"/>
      <c r="E16" t="s">
        <v>245</v>
      </c>
      <c r="F16" s="27">
        <f>+IF('Datos Prestador'!G32="",'Datos Prestador'!H32,'Datos Prestador'!G32)</f>
        <v>1</v>
      </c>
      <c r="H16" s="27">
        <f>+IF(C11&lt;4,0,IF('Datos Prestador'!O31="",'Datos Prestador'!P31,'Datos Prestador'!O31))</f>
        <v>1</v>
      </c>
      <c r="J16" s="3"/>
      <c r="K16" s="436" t="s">
        <v>691</v>
      </c>
      <c r="M16" s="31" t="str">
        <f>+IF('Datos Prestador'!M52="","",'Datos Prestador'!M52)</f>
        <v/>
      </c>
    </row>
    <row r="17" spans="2:13" x14ac:dyDescent="0.25">
      <c r="B17" s="27"/>
      <c r="C17" s="27"/>
      <c r="D17" s="3"/>
      <c r="E17" t="s">
        <v>246</v>
      </c>
      <c r="F17" s="27">
        <f>+IF(F7="Equipo de tracción manual",0,1)</f>
        <v>1</v>
      </c>
      <c r="H17" s="27"/>
      <c r="J17" s="3"/>
      <c r="K17" s="436" t="s">
        <v>692</v>
      </c>
      <c r="M17" s="31" t="str">
        <f>+IF('Datos Prestador'!M53="","",'Datos Prestador'!M53)</f>
        <v/>
      </c>
    </row>
    <row r="18" spans="2:13" x14ac:dyDescent="0.25">
      <c r="D18" s="3"/>
      <c r="E18" t="s">
        <v>350</v>
      </c>
      <c r="F18" s="74">
        <f>+IF('Datos Prestador'!G82="",'Datos Prestador'!H82*ROUNDUP(('C.Prestador'!F16*F24+'C.Prestador'!H16*H24)/20,0),'Datos Prestador'!G82*ROUNDUP(('C.Prestador'!F16*F24+'C.Prestador'!H16*H24)/20,0))</f>
        <v>0</v>
      </c>
      <c r="J18" s="3"/>
      <c r="K18" s="436" t="s">
        <v>693</v>
      </c>
      <c r="M18" s="31" t="str">
        <f>+IF('Datos Prestador'!M54="","",'Datos Prestador'!M54)</f>
        <v/>
      </c>
    </row>
    <row r="19" spans="2:13" x14ac:dyDescent="0.25">
      <c r="B19" s="27" t="s">
        <v>255</v>
      </c>
      <c r="C19" s="31">
        <f>+Cálculos!G14</f>
        <v>0</v>
      </c>
      <c r="D19" s="3"/>
      <c r="E19" t="s">
        <v>247</v>
      </c>
      <c r="F19" s="29">
        <f>(IF(C15="Peso (toneladas)",C20,C23)/F9)</f>
        <v>0</v>
      </c>
      <c r="H19" s="29">
        <f>+IFERROR(ROUNDUP(IF(C16="Peso (toneladas)",C20,C23)/H9,0),0)</f>
        <v>0</v>
      </c>
      <c r="J19" s="3"/>
      <c r="K19" s="436" t="s">
        <v>694</v>
      </c>
      <c r="M19" s="31" t="str">
        <f>+IF('Datos Prestador'!N52="","",'Datos Prestador'!N52)</f>
        <v/>
      </c>
    </row>
    <row r="20" spans="2:13" x14ac:dyDescent="0.25">
      <c r="B20" s="27" t="s">
        <v>256</v>
      </c>
      <c r="C20" s="31">
        <f>+Cálculos!G15</f>
        <v>0</v>
      </c>
      <c r="D20" s="3"/>
      <c r="E20" t="s">
        <v>248</v>
      </c>
      <c r="F20" s="29">
        <f>+IF('Datos Prestador'!G81="",'Datos Prestador'!H81,'Datos Prestador'!G81)/'C.Prestador'!F10</f>
        <v>7.0000000000000018</v>
      </c>
      <c r="H20" s="29">
        <f>+IF('Datos Prestador'!G81&gt;0,'Datos Prestador'!G81,'Datos Prestador'!H81)/'C.Prestador'!H10</f>
        <v>3.4285714285714288</v>
      </c>
      <c r="J20" s="3"/>
      <c r="K20" s="436" t="s">
        <v>695</v>
      </c>
      <c r="M20" s="31" t="str">
        <f>+IF('Datos Prestador'!N53="","",'Datos Prestador'!N53)</f>
        <v/>
      </c>
    </row>
    <row r="21" spans="2:13" x14ac:dyDescent="0.25">
      <c r="D21" s="3"/>
      <c r="E21" t="s">
        <v>249</v>
      </c>
      <c r="F21" s="29">
        <f>+ROUNDUP((F19/(IF('Datos Prestador'!G79="",'Datos Prestador'!H79,'Datos Prestador'!G79)))/(IF('Datos Prestador'!G80="",'Datos Prestador'!H80,'Datos Prestador'!G80)*'C.Prestador'!F20),0)</f>
        <v>0</v>
      </c>
      <c r="H21" s="29">
        <f>+ROUNDUP((H19/(IF('Datos Prestador'!G79&gt;0,'Datos Prestador'!G79,'Datos Prestador'!H79)))/(IF('Datos Prestador'!G80&gt;0,'Datos Prestador'!G80,'Datos Prestador'!H80)*'C.Prestador'!H20),0)</f>
        <v>0</v>
      </c>
      <c r="J21" s="3"/>
      <c r="K21" s="436" t="s">
        <v>696</v>
      </c>
      <c r="M21" s="31" t="str">
        <f>+IF('Datos Prestador'!N54="","",'Datos Prestador'!N54)</f>
        <v/>
      </c>
    </row>
    <row r="22" spans="2:13" x14ac:dyDescent="0.25">
      <c r="B22" s="27" t="s">
        <v>276</v>
      </c>
      <c r="C22" s="31">
        <f>+Cálculos!H14</f>
        <v>0</v>
      </c>
      <c r="D22" s="3"/>
      <c r="E22" t="s">
        <v>250</v>
      </c>
      <c r="F22" s="2">
        <f>ROUNDUP(F21*IF('Datos Prestador'!G33="",'Datos Prestador'!H33,'Datos Prestador'!G33),0)</f>
        <v>0</v>
      </c>
      <c r="H22" s="2">
        <f>+ROUNDUP(H21*IF('Datos Prestador'!O32&gt;0,'Datos Prestador'!O32,'Datos Prestador'!P32),0)</f>
        <v>0</v>
      </c>
      <c r="J22" s="3"/>
      <c r="K22" s="436" t="s">
        <v>350</v>
      </c>
      <c r="M22" s="31" t="str">
        <f>+IF('Datos Prestador'!O52="","",'Datos Prestador'!O52)</f>
        <v/>
      </c>
    </row>
    <row r="23" spans="2:13" x14ac:dyDescent="0.25">
      <c r="B23" s="27" t="s">
        <v>277</v>
      </c>
      <c r="C23" s="31">
        <f>+Cálculos!H15</f>
        <v>0</v>
      </c>
      <c r="D23" s="3"/>
      <c r="E23" s="10" t="s">
        <v>251</v>
      </c>
      <c r="F23" s="32">
        <f>+F22+F21</f>
        <v>0</v>
      </c>
      <c r="G23" s="10"/>
      <c r="H23" s="32">
        <f>+H22+H21</f>
        <v>0</v>
      </c>
      <c r="J23" s="3"/>
      <c r="K23" s="26"/>
    </row>
    <row r="24" spans="2:13" x14ac:dyDescent="0.25">
      <c r="D24" s="3"/>
      <c r="E24" s="10" t="s">
        <v>252</v>
      </c>
      <c r="F24" s="32">
        <f>+F21*IF('Datos Prestador'!G80="",'Datos Prestador'!H80,'Datos Prestador'!G80)</f>
        <v>0</v>
      </c>
      <c r="G24" s="10"/>
      <c r="H24" s="32">
        <f>+H21*IF('Datos Prestador'!G80&gt;0,'Datos Prestador'!G80,'Datos Prestador'!H80)</f>
        <v>0</v>
      </c>
      <c r="J24" s="3"/>
    </row>
    <row r="25" spans="2:13" x14ac:dyDescent="0.25">
      <c r="B25" s="27" t="s">
        <v>96</v>
      </c>
      <c r="C25" s="27"/>
      <c r="D25" s="3"/>
      <c r="J25" s="3"/>
    </row>
    <row r="26" spans="2:13" x14ac:dyDescent="0.25">
      <c r="B26" s="27" t="str">
        <f>+'Datos Prestador'!G35</f>
        <v>Gal/Km</v>
      </c>
      <c r="C26" s="27"/>
      <c r="D26" s="3"/>
      <c r="E26" s="10" t="s">
        <v>260</v>
      </c>
      <c r="F26" s="29">
        <f>+IF(F6="Combinación de Equipo de tracción manual con camión",0,IF('Datos Prestador'!G37="Longitud (km)",IF('Datos Prestador'!G39="",'Datos Prestador'!H39,'Datos Prestador'!G39),IF('Datos Prestador'!G39="",'Datos Prestador'!H39,'Datos Prestador'!G39)*'C.Prestador'!F12))</f>
        <v>0</v>
      </c>
      <c r="G26" s="29"/>
      <c r="H26" s="29">
        <f>+IF('Datos Prestador'!O34="Longitud (km)",IF('Datos Prestador'!O35="",'Datos Prestador'!P35,'Datos Prestador'!O35),IF('Datos Prestador'!O35="",'Datos Prestador'!P35,'Datos Prestador'!O35)*'C.Prestador'!H12)</f>
        <v>8</v>
      </c>
      <c r="J26" s="3"/>
    </row>
    <row r="27" spans="2:13" x14ac:dyDescent="0.25">
      <c r="D27" s="3"/>
      <c r="E27" s="10" t="s">
        <v>261</v>
      </c>
      <c r="F27" s="29">
        <f>+IF('Datos Prestador'!G37="Longitud (km)",IF('Datos Prestador'!G38="",'Datos Prestador'!H38,'Datos Prestador'!G38),IF('Datos Prestador'!G38="",'Datos Prestador'!H38,'Datos Prestador'!G38)*'C.Prestador'!F11)</f>
        <v>19.999999999999993</v>
      </c>
      <c r="H27" s="27">
        <v>0</v>
      </c>
      <c r="J27" s="3"/>
    </row>
    <row r="28" spans="2:13" x14ac:dyDescent="0.25">
      <c r="D28" s="3"/>
      <c r="E28" s="10"/>
      <c r="F28" s="29"/>
      <c r="G28" s="29"/>
      <c r="J28" s="3"/>
    </row>
    <row r="29" spans="2:13" x14ac:dyDescent="0.25">
      <c r="B29" s="40" t="s">
        <v>262</v>
      </c>
      <c r="C29" s="40"/>
      <c r="D29" s="3"/>
      <c r="E29" s="10" t="s">
        <v>96</v>
      </c>
      <c r="J29" s="3"/>
      <c r="K29" s="10" t="s">
        <v>96</v>
      </c>
    </row>
    <row r="30" spans="2:13" x14ac:dyDescent="0.25">
      <c r="B30" s="36" t="s">
        <v>85</v>
      </c>
      <c r="C30" s="37" t="s">
        <v>212</v>
      </c>
      <c r="D30" s="3"/>
      <c r="E30" s="34" t="s">
        <v>259</v>
      </c>
      <c r="F30" s="29">
        <f>+SUM(F31:F32)</f>
        <v>0</v>
      </c>
      <c r="G30" s="29"/>
      <c r="J30" s="3"/>
      <c r="K30" t="s">
        <v>259</v>
      </c>
      <c r="M30" s="27">
        <f>+SUMIF('Datos Prestador'!I52:I55,"&gt;0")</f>
        <v>0</v>
      </c>
    </row>
    <row r="31" spans="2:13" x14ac:dyDescent="0.25">
      <c r="B31" s="31">
        <v>1.3</v>
      </c>
      <c r="C31" s="31">
        <v>1.4</v>
      </c>
      <c r="D31" s="3"/>
      <c r="E31" s="35" t="s">
        <v>263</v>
      </c>
      <c r="F31" s="29">
        <f>+IF(F7="Equipo de tracción manual",0,IF('Datos Prestador'!G35="Gal/km",IF('Datos Prestador'!G36="",'Datos Prestador'!H36,'Datos Prestador'!G36)*'C.Prestador'!F26*'C.Prestador'!F19,0.142857142857143*F12*F19*IF('Datos Prestador'!G36="",'Datos Prestador'!H36,'Datos Prestador'!G36))*HLOOKUP(F7,'C.Prestador'!B30:C31,2,0))</f>
        <v>0</v>
      </c>
      <c r="G31" s="29"/>
      <c r="H31" s="27">
        <v>0</v>
      </c>
      <c r="J31" s="3"/>
    </row>
    <row r="32" spans="2:13" x14ac:dyDescent="0.25">
      <c r="D32" s="3"/>
      <c r="E32" s="35" t="s">
        <v>264</v>
      </c>
      <c r="F32" s="29">
        <f>+IF(F7="Equipo de tracción manual",0,IF('Datos Prestador'!G35="Gal/km",IF('Datos Prestador'!G36="",'Datos Prestador'!H36,'Datos Prestador'!G36)*'C.Prestador'!F27*'C.Prestador'!F19,F11*F19*IF('Datos Prestador'!G36="",'Datos Prestador'!H36,'Datos Prestador'!G36)))</f>
        <v>0</v>
      </c>
      <c r="H32" s="27">
        <v>0</v>
      </c>
      <c r="J32" s="3"/>
    </row>
    <row r="33" spans="2:19" x14ac:dyDescent="0.25">
      <c r="B33" s="27" t="s">
        <v>280</v>
      </c>
      <c r="C33" s="42">
        <f>+IF('Datos Prestador'!M261="",'Datos Prestador'!N261,'Datos Prestador'!M261)</f>
        <v>0.127</v>
      </c>
      <c r="D33" s="3"/>
      <c r="K33" s="10"/>
      <c r="L33" s="10"/>
    </row>
    <row r="34" spans="2:19" x14ac:dyDescent="0.25">
      <c r="B34" s="27" t="s">
        <v>285</v>
      </c>
      <c r="C34" s="43">
        <f>(1+C33)^(1/12)-1</f>
        <v>1.0013068206861098E-2</v>
      </c>
      <c r="D34" s="3"/>
    </row>
    <row r="35" spans="2:19" ht="21" x14ac:dyDescent="0.35">
      <c r="D35" s="3"/>
      <c r="E35" s="1203" t="s">
        <v>382</v>
      </c>
      <c r="F35" s="1203"/>
      <c r="G35" s="1203"/>
      <c r="H35" s="1203"/>
      <c r="I35" s="1203"/>
      <c r="J35" s="1203"/>
      <c r="K35" s="1203"/>
      <c r="M35" s="1204" t="s">
        <v>289</v>
      </c>
      <c r="N35" s="1205"/>
      <c r="O35" s="1205"/>
      <c r="P35" s="1205"/>
      <c r="Q35" s="1205"/>
      <c r="R35" s="1205"/>
    </row>
    <row r="36" spans="2:19" x14ac:dyDescent="0.25">
      <c r="B36" s="27" t="s">
        <v>473</v>
      </c>
      <c r="C36" s="27"/>
      <c r="D36" s="3"/>
      <c r="E36" s="1193" t="str">
        <f>+E85</f>
        <v>Costos de inversión y preinversión</v>
      </c>
      <c r="F36" s="1193"/>
      <c r="G36" s="1193"/>
      <c r="H36" s="1193"/>
      <c r="I36" s="1193"/>
      <c r="J36" s="1193"/>
      <c r="K36" s="1193"/>
      <c r="L36" s="1193"/>
      <c r="M36" s="1193"/>
      <c r="N36" s="1193"/>
      <c r="O36" s="1193"/>
      <c r="P36" s="1193"/>
      <c r="Q36" s="1193"/>
      <c r="R36" s="1193"/>
      <c r="S36" s="1193"/>
    </row>
    <row r="37" spans="2:19" x14ac:dyDescent="0.25">
      <c r="B37" s="27" t="s">
        <v>125</v>
      </c>
      <c r="C37" s="27" t="b">
        <v>0</v>
      </c>
      <c r="D37" s="3"/>
      <c r="E37" s="10"/>
      <c r="F37" s="10"/>
    </row>
    <row r="38" spans="2:19" x14ac:dyDescent="0.25">
      <c r="B38" s="27" t="s">
        <v>424</v>
      </c>
      <c r="C38" s="27" t="b">
        <v>0</v>
      </c>
      <c r="D38" s="3"/>
      <c r="E38" s="10"/>
      <c r="F38" s="10"/>
      <c r="N38" s="46" t="s">
        <v>288</v>
      </c>
      <c r="O38" s="46"/>
      <c r="P38" s="46"/>
      <c r="Q38" s="46"/>
    </row>
    <row r="39" spans="2:19" x14ac:dyDescent="0.25">
      <c r="B39" s="27" t="s">
        <v>474</v>
      </c>
      <c r="C39" s="27" t="b">
        <v>1</v>
      </c>
      <c r="D39" s="3"/>
      <c r="E39" s="10"/>
      <c r="F39" s="10" t="s">
        <v>110</v>
      </c>
      <c r="G39" s="10" t="s">
        <v>267</v>
      </c>
      <c r="H39" s="10" t="s">
        <v>268</v>
      </c>
      <c r="I39" s="46" t="s">
        <v>272</v>
      </c>
      <c r="J39" s="46"/>
      <c r="K39" s="10" t="s">
        <v>299</v>
      </c>
      <c r="M39" s="141" t="s">
        <v>469</v>
      </c>
      <c r="N39" s="143" t="s">
        <v>424</v>
      </c>
      <c r="O39" s="143" t="s">
        <v>137</v>
      </c>
      <c r="Q39" s="10" t="s">
        <v>125</v>
      </c>
      <c r="R39" s="10" t="s">
        <v>424</v>
      </c>
      <c r="S39" s="10" t="s">
        <v>137</v>
      </c>
    </row>
    <row r="40" spans="2:19" x14ac:dyDescent="0.25">
      <c r="D40" s="3"/>
      <c r="E40" t="s">
        <v>85</v>
      </c>
      <c r="F40">
        <f>+IFERROR(IF(F6="Equipo de tracción manual",0,IF(M12="",IF(OR(F7="vehículo motorizado mediano",F6="combinación de Equipo de tracción manual con camión"),0,F23),M12)),0)</f>
        <v>0</v>
      </c>
      <c r="G40" s="2">
        <f>+IF('Datos Prestador'!I65="",'Datos Prestador'!K65,'Datos Prestador'!I65)</f>
        <v>7290.2503836494298</v>
      </c>
      <c r="H40" s="2">
        <f>+G40*F40</f>
        <v>0</v>
      </c>
      <c r="I40" s="1202">
        <f>+IF(AND('Datos Prestador'!$G$34="",'Datos Prestador'!K52=""),'Datos Prestador'!$H$34,IF('Datos Prestador'!K52="",'Datos Prestador'!$G$34,'Datos Prestador'!K52))</f>
        <v>12</v>
      </c>
      <c r="J40" s="1202"/>
      <c r="K40" s="2">
        <f>+IF(F40&gt;0,PMT($C$34,I40*12,-H40),0)</f>
        <v>0</v>
      </c>
      <c r="M40" t="b">
        <v>1</v>
      </c>
      <c r="N40" t="b">
        <v>0</v>
      </c>
      <c r="O40" t="b">
        <v>0</v>
      </c>
      <c r="Q40" s="2">
        <f>+IF(M40=TRUE,K40,0)</f>
        <v>0</v>
      </c>
      <c r="R40" s="2">
        <f>+IF(N40=TRUE,K40,0)</f>
        <v>0</v>
      </c>
      <c r="S40" s="2">
        <f>+IF(O40=TRUE,K40,0)</f>
        <v>0</v>
      </c>
    </row>
    <row r="41" spans="2:19" x14ac:dyDescent="0.25">
      <c r="D41" s="3"/>
      <c r="E41" t="s">
        <v>212</v>
      </c>
      <c r="F41">
        <f>+IF(M13="",IF(OR(F7="vehículo motorizado mediano",F6="combinación de Equipo de tracción manual con camión"),F23,0),M13)</f>
        <v>0</v>
      </c>
      <c r="G41" s="2">
        <f>+IF('Datos Prestador'!I66="",'Datos Prestador'!K66,'Datos Prestador'!I66)</f>
        <v>29161.001534597701</v>
      </c>
      <c r="H41" s="2">
        <f>+G41*F41</f>
        <v>0</v>
      </c>
      <c r="I41" s="1202">
        <f>+IF(AND('Datos Prestador'!$G$34="",'Datos Prestador'!K53=""),'Datos Prestador'!$H$34,IF('Datos Prestador'!K53="",'Datos Prestador'!$G$34,'Datos Prestador'!K53))</f>
        <v>12</v>
      </c>
      <c r="J41" s="1202"/>
      <c r="K41" s="2">
        <f>+IF(F41&gt;0,PMT($C$34,I41*12,-H41),0)</f>
        <v>0</v>
      </c>
      <c r="M41" t="b">
        <v>1</v>
      </c>
      <c r="N41" t="b">
        <v>0</v>
      </c>
      <c r="O41" t="b">
        <v>0</v>
      </c>
      <c r="Q41" s="2">
        <f>+IF(M41=TRUE,K41,0)</f>
        <v>0</v>
      </c>
      <c r="R41" s="2">
        <f>+IF(N41=TRUE,K41,0)</f>
        <v>0</v>
      </c>
      <c r="S41" s="2">
        <f>+IF(O41=TRUE,K41,0)</f>
        <v>0</v>
      </c>
    </row>
    <row r="42" spans="2:19" x14ac:dyDescent="0.25">
      <c r="D42" s="3"/>
      <c r="E42" t="s">
        <v>433</v>
      </c>
      <c r="F42">
        <f>+IF(M14="",IF(F7="Equipo de tracción manual",F23,IF(F6="Combinación de Equipo de tracción manual con camión",H23,0)),M14)</f>
        <v>0</v>
      </c>
      <c r="G42" s="2">
        <f>+IF('Datos Prestador'!I67="",'Datos Prestador'!K67,'Datos Prestador'!I67)</f>
        <v>364.51251918247101</v>
      </c>
      <c r="H42" s="2">
        <f>+G42*F42</f>
        <v>0</v>
      </c>
      <c r="I42" s="1202">
        <f>+IF(AND('Datos Prestador'!$O$33="",'Datos Prestador'!K54=""),'Datos Prestador'!$P$33,IF('Datos Prestador'!K54="",'Datos Prestador'!$O$33,'Datos Prestador'!K54))</f>
        <v>2</v>
      </c>
      <c r="J42" s="1202"/>
      <c r="K42" s="2">
        <f>+IF(F42&gt;0,PMT($C$34,I42*12,-H42),0)</f>
        <v>0</v>
      </c>
      <c r="M42" t="b">
        <v>1</v>
      </c>
      <c r="N42" t="b">
        <v>0</v>
      </c>
      <c r="O42" t="b">
        <v>0</v>
      </c>
      <c r="Q42" s="2">
        <f>+IF(M42=TRUE,K42,0)</f>
        <v>0</v>
      </c>
      <c r="R42" s="2">
        <f>+IF(N42=TRUE,K42,0)</f>
        <v>0</v>
      </c>
      <c r="S42" s="2">
        <f>+IF(O42=TRUE,K42,0)</f>
        <v>0</v>
      </c>
    </row>
    <row r="43" spans="2:19" x14ac:dyDescent="0.25">
      <c r="C43" s="29"/>
      <c r="D43" s="3"/>
      <c r="E43" t="s">
        <v>153</v>
      </c>
      <c r="F43">
        <f>+IF(M15="",'Datos Prestador'!G40,M15)</f>
        <v>0</v>
      </c>
      <c r="G43" s="2">
        <f>+IF('Datos Prestador'!I68="",'Datos Prestador'!K68,'Datos Prestador'!I68)</f>
        <v>320</v>
      </c>
      <c r="H43" s="2">
        <f>+G43*F43</f>
        <v>0</v>
      </c>
      <c r="I43" s="1202">
        <f>+IF(AND('Datos Prestador'!$G$41="",'Datos Prestador'!K55=""),6,IF('Datos Prestador'!K55="",'Datos Prestador'!$G$41,'Datos Prestador'!K55))</f>
        <v>6</v>
      </c>
      <c r="J43" s="1202"/>
      <c r="K43" s="2">
        <f>+IF(F43&gt;0,PMT($C$34,I43*12,-H43),0)</f>
        <v>0</v>
      </c>
      <c r="M43" t="b">
        <v>1</v>
      </c>
      <c r="N43" t="b">
        <v>0</v>
      </c>
      <c r="O43" t="b">
        <v>0</v>
      </c>
      <c r="Q43" s="2">
        <f>+IF(M43=TRUE,K43,0)</f>
        <v>0</v>
      </c>
      <c r="R43" s="2">
        <f>+IF(N43=TRUE,K43,0)</f>
        <v>0</v>
      </c>
      <c r="S43" s="2">
        <f>+IF(O43=TRUE,K43,0)</f>
        <v>0</v>
      </c>
    </row>
    <row r="44" spans="2:19" x14ac:dyDescent="0.25">
      <c r="D44" s="3"/>
      <c r="E44" s="10" t="s">
        <v>9</v>
      </c>
      <c r="F44" s="10"/>
      <c r="G44" s="10"/>
      <c r="H44" s="32">
        <f>+SUM(H40:H43)</f>
        <v>0</v>
      </c>
      <c r="I44" s="10"/>
      <c r="J44" s="10"/>
      <c r="K44" s="32">
        <f>+SUM(K40:K43)</f>
        <v>0</v>
      </c>
      <c r="P44" s="10" t="s">
        <v>9</v>
      </c>
      <c r="Q44" s="32">
        <f>+SUM(Q40:Q43)</f>
        <v>0</v>
      </c>
      <c r="R44" s="32">
        <f>+SUM(R40:R43)</f>
        <v>0</v>
      </c>
      <c r="S44" s="32">
        <f>+SUM(S40:S43)</f>
        <v>0</v>
      </c>
    </row>
    <row r="45" spans="2:19" x14ac:dyDescent="0.25">
      <c r="B45" s="29"/>
      <c r="D45" s="3"/>
    </row>
    <row r="46" spans="2:19" x14ac:dyDescent="0.25">
      <c r="D46" s="3"/>
    </row>
    <row r="47" spans="2:19" x14ac:dyDescent="0.25">
      <c r="D47" s="3"/>
      <c r="E47" s="1193" t="str">
        <f>+E87</f>
        <v>Costos variables</v>
      </c>
      <c r="F47" s="1193"/>
      <c r="G47" s="1193"/>
      <c r="H47" s="1193"/>
      <c r="I47" s="1193"/>
      <c r="J47" s="1193"/>
      <c r="K47" s="1193"/>
      <c r="L47" s="1193"/>
      <c r="M47" s="1193"/>
      <c r="N47" s="1193"/>
      <c r="O47" s="1193"/>
      <c r="P47" s="1193"/>
      <c r="Q47" s="1193"/>
      <c r="R47" s="1193"/>
      <c r="S47" s="1193"/>
    </row>
    <row r="48" spans="2:19" x14ac:dyDescent="0.25">
      <c r="D48" s="3"/>
    </row>
    <row r="49" spans="4:19" x14ac:dyDescent="0.25">
      <c r="D49" s="3"/>
      <c r="E49" s="10" t="s">
        <v>265</v>
      </c>
      <c r="Q49" s="10"/>
      <c r="R49" s="10"/>
    </row>
    <row r="50" spans="4:19" x14ac:dyDescent="0.25">
      <c r="D50" s="3"/>
      <c r="E50" t="s">
        <v>470</v>
      </c>
      <c r="F50" s="29">
        <f>+IFERROR(IF(M30&gt;0,M30,SUM(F31:F32))*'Datos Prestador'!H112,0)</f>
        <v>0</v>
      </c>
      <c r="M50" s="141" t="s">
        <v>469</v>
      </c>
      <c r="N50" s="143" t="s">
        <v>424</v>
      </c>
      <c r="O50" s="143" t="s">
        <v>137</v>
      </c>
      <c r="Q50" s="10" t="s">
        <v>125</v>
      </c>
      <c r="R50" s="10" t="s">
        <v>424</v>
      </c>
      <c r="S50" s="10" t="s">
        <v>137</v>
      </c>
    </row>
    <row r="51" spans="4:19" x14ac:dyDescent="0.25">
      <c r="D51" s="3"/>
      <c r="M51" t="b">
        <v>0</v>
      </c>
      <c r="N51" t="b">
        <v>0</v>
      </c>
      <c r="O51" t="b">
        <v>1</v>
      </c>
      <c r="P51" t="b">
        <v>0</v>
      </c>
      <c r="Q51" s="2">
        <f>+IF(M51=TRUE,$F$50,0)</f>
        <v>0</v>
      </c>
      <c r="R51" s="2">
        <f>+IF(N51=TRUE,$F$50,0)</f>
        <v>0</v>
      </c>
      <c r="S51" s="2">
        <f>+IF(O51=TRUE,$F$50,0)</f>
        <v>0</v>
      </c>
    </row>
    <row r="52" spans="4:19" x14ac:dyDescent="0.25">
      <c r="D52" s="3"/>
      <c r="E52" s="10" t="s">
        <v>238</v>
      </c>
      <c r="F52" s="29"/>
      <c r="M52" t="b">
        <v>0</v>
      </c>
      <c r="N52" t="b">
        <v>0</v>
      </c>
      <c r="O52" t="b">
        <v>1</v>
      </c>
      <c r="P52" t="b">
        <v>0</v>
      </c>
      <c r="Q52" s="2">
        <f>+IF(M52=TRUE,$F$53,0)</f>
        <v>0</v>
      </c>
      <c r="R52" s="2">
        <f>+IF(N52=TRUE,$F$53,0)</f>
        <v>0</v>
      </c>
      <c r="S52" s="2">
        <f>+IF(O52=TRUE,$F$53,0)</f>
        <v>0</v>
      </c>
    </row>
    <row r="53" spans="4:19" x14ac:dyDescent="0.25">
      <c r="D53" s="3"/>
      <c r="E53" t="s">
        <v>460</v>
      </c>
      <c r="F53" s="29">
        <f>+IFERROR(IF('Datos Prestador'!H113="",'Datos Prestador'!J113,'Datos Prestador'!H113),0)*(F40+F41)</f>
        <v>0</v>
      </c>
      <c r="M53" t="b">
        <v>0</v>
      </c>
      <c r="N53" t="b">
        <v>0</v>
      </c>
      <c r="O53" t="b">
        <v>1</v>
      </c>
      <c r="P53" s="2" t="b">
        <v>0</v>
      </c>
      <c r="Q53" s="2">
        <f>+IF(M53=TRUE,$F$54,0)</f>
        <v>0</v>
      </c>
      <c r="R53" s="2">
        <f>+IF(N53=TRUE,$F$54,0)</f>
        <v>0</v>
      </c>
      <c r="S53" s="2">
        <f>+IF(O53=TRUE,$F$54,0)</f>
        <v>2.4300834612164732</v>
      </c>
    </row>
    <row r="54" spans="4:19" x14ac:dyDescent="0.25">
      <c r="D54" s="3"/>
      <c r="E54" t="s">
        <v>461</v>
      </c>
      <c r="F54" s="29">
        <f>+IF(C11=C9,IF('Datos Prestador'!H117="",'Datos Prestador'!J117,'Datos Prestador'!H117),IF('C.Prestador'!C11='C.Prestador'!C8,IF('Datos Prestador'!H113="",'Datos Prestador'!J113,'Datos Prestador'!H113),0))</f>
        <v>2.4300834612164732</v>
      </c>
      <c r="G54" s="2"/>
      <c r="O54" t="s">
        <v>9</v>
      </c>
      <c r="P54" s="32"/>
      <c r="Q54" s="32">
        <f>+SUM(Q51:Q53)</f>
        <v>0</v>
      </c>
      <c r="R54" s="32">
        <f>+SUM(R51:R53)</f>
        <v>0</v>
      </c>
      <c r="S54" s="32">
        <f>+SUM(S51:S53)</f>
        <v>2.4300834612164732</v>
      </c>
    </row>
    <row r="55" spans="4:19" x14ac:dyDescent="0.25">
      <c r="D55" s="3"/>
      <c r="E55" t="s">
        <v>409</v>
      </c>
      <c r="F55" s="29">
        <f>+IFERROR(C139,0)</f>
        <v>0</v>
      </c>
    </row>
    <row r="56" spans="4:19" x14ac:dyDescent="0.25">
      <c r="D56" s="3"/>
    </row>
    <row r="57" spans="4:19" x14ac:dyDescent="0.25">
      <c r="D57" s="3"/>
      <c r="E57" s="1193" t="str">
        <f>+E88</f>
        <v>Costos de personal</v>
      </c>
      <c r="F57" s="1193"/>
      <c r="G57" s="1193"/>
      <c r="H57" s="1193"/>
      <c r="I57" s="1193"/>
      <c r="J57" s="1193"/>
      <c r="K57" s="1193"/>
      <c r="L57" s="1193"/>
      <c r="M57" s="1193"/>
      <c r="N57" s="1193"/>
      <c r="O57" s="1193"/>
      <c r="P57" s="1193"/>
      <c r="Q57" s="1193"/>
      <c r="R57" s="1193"/>
      <c r="S57" s="1193"/>
    </row>
    <row r="58" spans="4:19" x14ac:dyDescent="0.25">
      <c r="D58" s="3"/>
    </row>
    <row r="59" spans="4:19" ht="30" customHeight="1" x14ac:dyDescent="0.25">
      <c r="D59" s="3"/>
      <c r="E59" t="s">
        <v>136</v>
      </c>
      <c r="F59" s="144" t="str">
        <f>+L61</f>
        <v>Operario de recolección del Equipo de tracción manual</v>
      </c>
      <c r="G59" s="139" t="str">
        <f>+L62</f>
        <v>Operario de recolección del vehículo motorizado</v>
      </c>
      <c r="H59" s="140" t="str">
        <f>+L63</f>
        <v>Conductor</v>
      </c>
      <c r="I59" s="142" t="str">
        <f>+L64</f>
        <v>Supervisor</v>
      </c>
      <c r="K59" s="140"/>
    </row>
    <row r="60" spans="4:19" x14ac:dyDescent="0.25">
      <c r="D60" s="3"/>
      <c r="E60" t="s">
        <v>128</v>
      </c>
      <c r="F60" s="47">
        <f>+'Datos Prestador'!J87</f>
        <v>0</v>
      </c>
      <c r="G60" s="137">
        <f>+'Datos Prestador'!M87</f>
        <v>0</v>
      </c>
      <c r="H60" s="137">
        <f>+'Datos Prestador'!N87</f>
        <v>0</v>
      </c>
      <c r="I60" s="48">
        <f>+'Datos Prestador'!O87</f>
        <v>0</v>
      </c>
      <c r="M60" s="141" t="s">
        <v>469</v>
      </c>
      <c r="N60" s="143" t="s">
        <v>424</v>
      </c>
      <c r="O60" s="143" t="s">
        <v>137</v>
      </c>
      <c r="Q60" s="10" t="s">
        <v>125</v>
      </c>
      <c r="R60" s="10" t="s">
        <v>424</v>
      </c>
      <c r="S60" s="10" t="s">
        <v>137</v>
      </c>
    </row>
    <row r="61" spans="4:19" x14ac:dyDescent="0.25">
      <c r="D61" s="3"/>
      <c r="E61" t="s">
        <v>129</v>
      </c>
      <c r="F61" s="47">
        <f>+'Datos Prestador'!J88</f>
        <v>0</v>
      </c>
      <c r="G61" s="137">
        <f>+'Datos Prestador'!M88</f>
        <v>0</v>
      </c>
      <c r="H61" s="137">
        <f>+'Datos Prestador'!N88</f>
        <v>0</v>
      </c>
      <c r="I61" s="48">
        <f>+'Datos Prestador'!O88</f>
        <v>0</v>
      </c>
      <c r="L61" s="52" t="s">
        <v>455</v>
      </c>
      <c r="M61" t="b">
        <v>0</v>
      </c>
      <c r="N61" t="b">
        <v>0</v>
      </c>
      <c r="O61" t="b">
        <v>1</v>
      </c>
      <c r="Q61" s="63">
        <f>+IF(M61=TRUE,F68,0)</f>
        <v>0</v>
      </c>
      <c r="R61" s="2">
        <f>+IF(N61=TRUE,F68,0)</f>
        <v>0</v>
      </c>
      <c r="S61" s="2">
        <f>+IF(O61=TRUE,F68,0)</f>
        <v>0</v>
      </c>
    </row>
    <row r="62" spans="4:19" x14ac:dyDescent="0.25">
      <c r="D62" s="3"/>
      <c r="E62" t="s">
        <v>130</v>
      </c>
      <c r="F62" s="49">
        <f>+F60*'Datos Prestador'!J89</f>
        <v>0</v>
      </c>
      <c r="G62" s="138">
        <f>+$G$60*'Datos Prestador'!M89</f>
        <v>0</v>
      </c>
      <c r="H62" s="138">
        <f>+$H$60*'Datos Prestador'!N89</f>
        <v>0</v>
      </c>
      <c r="I62" s="8">
        <f>+$I$60*'Datos Prestador'!O89</f>
        <v>0</v>
      </c>
      <c r="L62" s="52" t="s">
        <v>140</v>
      </c>
      <c r="M62" t="b">
        <v>0</v>
      </c>
      <c r="N62" t="b">
        <v>0</v>
      </c>
      <c r="O62" t="b">
        <v>1</v>
      </c>
      <c r="Q62" s="63">
        <f>+IF(M62=TRUE,G68,0)</f>
        <v>0</v>
      </c>
      <c r="R62" s="2">
        <f>+IF(N62=TRUE,G68,0)</f>
        <v>0</v>
      </c>
      <c r="S62" s="2">
        <f>+IF(O62=TRUE,G68,0)</f>
        <v>0</v>
      </c>
    </row>
    <row r="63" spans="4:19" x14ac:dyDescent="0.25">
      <c r="D63" s="3"/>
      <c r="E63" t="s">
        <v>131</v>
      </c>
      <c r="F63" s="49">
        <f>+$F$60*'Datos Prestador'!J90</f>
        <v>0</v>
      </c>
      <c r="G63" s="138">
        <f>+$G$60*'Datos Prestador'!M90</f>
        <v>0</v>
      </c>
      <c r="H63" s="138">
        <f>+$H$60*'Datos Prestador'!N90</f>
        <v>0</v>
      </c>
      <c r="I63" s="8">
        <f>+$I$60*'Datos Prestador'!O90</f>
        <v>0</v>
      </c>
      <c r="L63" s="52" t="s">
        <v>134</v>
      </c>
      <c r="M63" t="b">
        <v>0</v>
      </c>
      <c r="N63" t="b">
        <v>0</v>
      </c>
      <c r="O63" t="b">
        <v>1</v>
      </c>
      <c r="Q63" s="63">
        <f>+IF(M63=TRUE,H68,0)</f>
        <v>0</v>
      </c>
      <c r="R63" s="2">
        <f>+IF(N63=TRUE,H68,0)</f>
        <v>0</v>
      </c>
      <c r="S63" s="2">
        <f>+IF(O62=TRUE,H68,0)</f>
        <v>0</v>
      </c>
    </row>
    <row r="64" spans="4:19" x14ac:dyDescent="0.25">
      <c r="D64" s="3"/>
      <c r="E64" t="s">
        <v>132</v>
      </c>
      <c r="F64" s="49">
        <f>+$F$60*'Datos Prestador'!J91</f>
        <v>0</v>
      </c>
      <c r="G64" s="138">
        <f>+$G$60*'Datos Prestador'!M91</f>
        <v>0</v>
      </c>
      <c r="H64" s="138">
        <f>+$H$60*'Datos Prestador'!N91</f>
        <v>0</v>
      </c>
      <c r="I64" s="8">
        <f>+$I$60*'Datos Prestador'!O91</f>
        <v>0</v>
      </c>
      <c r="L64" s="52" t="s">
        <v>159</v>
      </c>
      <c r="M64" t="b">
        <v>0</v>
      </c>
      <c r="N64" t="b">
        <v>0</v>
      </c>
      <c r="O64" t="b">
        <v>1</v>
      </c>
      <c r="Q64" s="63">
        <f>+IF(M64=TRUE,I68,0)</f>
        <v>0</v>
      </c>
      <c r="R64" s="2">
        <f>+IF(N64=TRUE,I68,0)</f>
        <v>0</v>
      </c>
      <c r="S64" s="2">
        <f>+IF(O62=TRUE,I68,0)</f>
        <v>0</v>
      </c>
    </row>
    <row r="65" spans="5:19" x14ac:dyDescent="0.25">
      <c r="E65" t="s">
        <v>133</v>
      </c>
      <c r="F65" s="49">
        <f>+$F$60*'Datos Prestador'!J92</f>
        <v>0</v>
      </c>
      <c r="G65" s="138">
        <f>+$G$60*'Datos Prestador'!M92</f>
        <v>0</v>
      </c>
      <c r="H65" s="138">
        <f>+$H$60*'Datos Prestador'!N92</f>
        <v>0</v>
      </c>
      <c r="I65" s="8">
        <f>+$I$60*'Datos Prestador'!O92</f>
        <v>0</v>
      </c>
      <c r="P65" s="10" t="s">
        <v>9</v>
      </c>
      <c r="Q65" s="32">
        <f>+SUM(Q61:Q64)</f>
        <v>0</v>
      </c>
      <c r="R65" s="32">
        <f>+SUM(R61:R64)</f>
        <v>0</v>
      </c>
      <c r="S65" s="32">
        <f>+SUM(S61:S64)</f>
        <v>0</v>
      </c>
    </row>
    <row r="66" spans="5:19" x14ac:dyDescent="0.25">
      <c r="E66" t="s">
        <v>135</v>
      </c>
      <c r="F66" s="47">
        <f>+'Datos Prestador'!J93</f>
        <v>0</v>
      </c>
      <c r="G66" s="137">
        <f>+'Datos Prestador'!M93</f>
        <v>0</v>
      </c>
      <c r="H66" s="137">
        <f>+'Datos Prestador'!N93</f>
        <v>0</v>
      </c>
      <c r="I66" s="48">
        <f>+'Datos Prestador'!O93</f>
        <v>0</v>
      </c>
    </row>
    <row r="67" spans="5:19" x14ac:dyDescent="0.25">
      <c r="E67" s="10" t="s">
        <v>9</v>
      </c>
      <c r="F67" s="49">
        <f>+SUM(F60:F66)</f>
        <v>0</v>
      </c>
      <c r="G67" s="138">
        <f>+SUM(G60:G66)</f>
        <v>0</v>
      </c>
      <c r="H67" s="138">
        <f>+SUM(H60:H66)</f>
        <v>0</v>
      </c>
      <c r="I67" s="8">
        <f>+SUM(I60:I66)</f>
        <v>0</v>
      </c>
    </row>
    <row r="68" spans="5:19" x14ac:dyDescent="0.25">
      <c r="E68" s="10" t="s">
        <v>351</v>
      </c>
      <c r="F68" s="49">
        <f>+IF(M18="",H16*H24,M18*F42)*F67</f>
        <v>0</v>
      </c>
      <c r="G68" s="138">
        <f>+IF(AND(M16="",M17=""),F16*F24,IF(M16="",0,M16)*F40+IF(M17="",0,M17)*F41)*G67</f>
        <v>0</v>
      </c>
      <c r="H68" s="138">
        <f>+IF(AND(M19="",M20="",M21=""),F17*F24,IF(M19="",0,M19)*F40+IF(M20="",0,M20)*F41+IF(M21="",0,M21)*F42)*H67</f>
        <v>0</v>
      </c>
      <c r="I68" s="8">
        <f>+I67*IF(M22="",F18,M22)</f>
        <v>0</v>
      </c>
    </row>
    <row r="71" spans="5:19" x14ac:dyDescent="0.25">
      <c r="E71" s="1193" t="str">
        <f>+E86</f>
        <v>Costos fijos</v>
      </c>
      <c r="F71" s="1193"/>
      <c r="G71" s="1193"/>
      <c r="H71" s="1193"/>
      <c r="I71" s="1193"/>
      <c r="J71" s="1193"/>
      <c r="K71" s="1193"/>
      <c r="L71" s="1193"/>
      <c r="M71" s="1193"/>
      <c r="N71" s="1193"/>
      <c r="O71" s="1193"/>
      <c r="P71" s="1193"/>
      <c r="Q71" s="1193"/>
      <c r="R71" s="1193"/>
      <c r="S71" s="1193"/>
    </row>
    <row r="73" spans="5:19" x14ac:dyDescent="0.25">
      <c r="E73" t="s">
        <v>83</v>
      </c>
      <c r="G73" t="s">
        <v>139</v>
      </c>
      <c r="L73" t="s">
        <v>83</v>
      </c>
      <c r="M73" s="34" t="s">
        <v>469</v>
      </c>
      <c r="N73" t="s">
        <v>424</v>
      </c>
      <c r="O73" t="s">
        <v>137</v>
      </c>
      <c r="Q73" s="10" t="s">
        <v>125</v>
      </c>
      <c r="R73" s="10" t="s">
        <v>424</v>
      </c>
      <c r="S73" s="10" t="s">
        <v>137</v>
      </c>
    </row>
    <row r="74" spans="5:19" x14ac:dyDescent="0.25">
      <c r="E74" t="s">
        <v>85</v>
      </c>
      <c r="G74" s="29">
        <f>+IF(F40=0,0,F40)*IF('Datos Prestador'!H126="",'Datos Prestador'!J126,'Datos Prestador'!H126)</f>
        <v>0</v>
      </c>
      <c r="L74" t="s">
        <v>85</v>
      </c>
      <c r="M74" t="b">
        <v>0</v>
      </c>
      <c r="N74" t="b">
        <v>0</v>
      </c>
      <c r="O74" t="b">
        <v>1</v>
      </c>
      <c r="Q74">
        <f>+IF(M74=TRUE,$G74,0)</f>
        <v>0</v>
      </c>
      <c r="R74" s="2">
        <f>+IF(N74=TRUE,$G74,0)</f>
        <v>0</v>
      </c>
      <c r="S74" s="2">
        <f>+IF(O74=TRUE,$G74,0)</f>
        <v>0</v>
      </c>
    </row>
    <row r="75" spans="5:19" x14ac:dyDescent="0.25">
      <c r="E75" t="s">
        <v>212</v>
      </c>
      <c r="G75" s="29">
        <f>+F41*IF('Datos Prestador'!H127="",'Datos Prestador'!J127,'Datos Prestador'!H127)</f>
        <v>0</v>
      </c>
      <c r="L75" t="s">
        <v>212</v>
      </c>
      <c r="M75" t="b">
        <v>0</v>
      </c>
      <c r="N75" t="b">
        <v>0</v>
      </c>
      <c r="O75" t="b">
        <v>1</v>
      </c>
      <c r="Q75">
        <f t="shared" ref="Q75:S77" si="0">+IF(M75=TRUE,$G75,0)</f>
        <v>0</v>
      </c>
      <c r="R75" s="2">
        <f t="shared" si="0"/>
        <v>0</v>
      </c>
      <c r="S75" s="2">
        <f t="shared" si="0"/>
        <v>0</v>
      </c>
    </row>
    <row r="76" spans="5:19" x14ac:dyDescent="0.25">
      <c r="E76" t="s">
        <v>433</v>
      </c>
      <c r="G76" s="29">
        <f>+F42*IF('Datos Prestador'!H128="",'Datos Prestador'!J128,'Datos Prestador'!H128)</f>
        <v>0</v>
      </c>
      <c r="L76" t="s">
        <v>433</v>
      </c>
      <c r="M76" t="b">
        <v>0</v>
      </c>
      <c r="N76" t="b">
        <v>0</v>
      </c>
      <c r="O76" t="b">
        <v>1</v>
      </c>
      <c r="Q76">
        <f t="shared" si="0"/>
        <v>0</v>
      </c>
      <c r="R76" s="2">
        <f t="shared" si="0"/>
        <v>0</v>
      </c>
      <c r="S76" s="2">
        <f t="shared" si="0"/>
        <v>0</v>
      </c>
    </row>
    <row r="77" spans="5:19" x14ac:dyDescent="0.25">
      <c r="E77" t="s">
        <v>153</v>
      </c>
      <c r="G77" s="29">
        <f>+F43*IF('Datos Prestador'!H129="",'Datos Prestador'!J129,'Datos Prestador'!H129)</f>
        <v>0</v>
      </c>
      <c r="L77" t="s">
        <v>153</v>
      </c>
      <c r="M77" t="b">
        <v>0</v>
      </c>
      <c r="N77" t="b">
        <v>0</v>
      </c>
      <c r="O77" t="b">
        <v>1</v>
      </c>
      <c r="Q77">
        <f t="shared" si="0"/>
        <v>0</v>
      </c>
      <c r="R77" s="2">
        <f t="shared" si="0"/>
        <v>0</v>
      </c>
      <c r="S77" s="2">
        <f t="shared" si="0"/>
        <v>0</v>
      </c>
    </row>
    <row r="78" spans="5:19" x14ac:dyDescent="0.25">
      <c r="E78" s="10" t="s">
        <v>9</v>
      </c>
      <c r="G78" s="32">
        <f>+IF(C11=0,0,SUM(G74:G77))</f>
        <v>0</v>
      </c>
      <c r="P78" s="10" t="s">
        <v>9</v>
      </c>
      <c r="Q78" s="29">
        <f>+SUM(Q74:Q77)</f>
        <v>0</v>
      </c>
      <c r="R78" s="29">
        <f>+SUM(R74:R77)</f>
        <v>0</v>
      </c>
      <c r="S78" s="29">
        <f>+SUM(S74:S77)</f>
        <v>0</v>
      </c>
    </row>
    <row r="82" spans="2:19" x14ac:dyDescent="0.25">
      <c r="E82" s="1193" t="s">
        <v>296</v>
      </c>
      <c r="F82" s="1193"/>
      <c r="G82" s="1193"/>
      <c r="H82" s="1193"/>
      <c r="I82" s="1193"/>
      <c r="J82" s="1193"/>
      <c r="K82" s="1193"/>
      <c r="L82" s="1193"/>
      <c r="M82" s="1193"/>
      <c r="N82" s="1193"/>
      <c r="O82" s="1193"/>
      <c r="P82" s="1193"/>
      <c r="Q82" s="1193"/>
      <c r="R82" s="1193"/>
      <c r="S82" s="1193"/>
    </row>
    <row r="84" spans="2:19" ht="26.25" x14ac:dyDescent="0.25">
      <c r="E84" s="10" t="s">
        <v>86</v>
      </c>
      <c r="F84" s="10" t="s">
        <v>298</v>
      </c>
      <c r="M84" s="10" t="s">
        <v>86</v>
      </c>
      <c r="N84" t="s">
        <v>426</v>
      </c>
      <c r="O84" s="125" t="s">
        <v>137</v>
      </c>
      <c r="P84" t="s">
        <v>125</v>
      </c>
    </row>
    <row r="85" spans="2:19" x14ac:dyDescent="0.25">
      <c r="E85" t="s">
        <v>291</v>
      </c>
      <c r="F85" s="29">
        <f>+K44</f>
        <v>0</v>
      </c>
      <c r="M85" t="s">
        <v>291</v>
      </c>
      <c r="N85" s="29">
        <f>+R44</f>
        <v>0</v>
      </c>
      <c r="O85" s="29">
        <f>+S44</f>
        <v>0</v>
      </c>
      <c r="P85" s="29">
        <f t="shared" ref="P85:P90" si="1">+IF((F85-N85-O85)&lt;0,0,F85-N85-O85)</f>
        <v>0</v>
      </c>
    </row>
    <row r="86" spans="2:19" x14ac:dyDescent="0.25">
      <c r="E86" t="s">
        <v>290</v>
      </c>
      <c r="F86" s="29">
        <f>+G78</f>
        <v>0</v>
      </c>
      <c r="M86" t="s">
        <v>290</v>
      </c>
      <c r="N86" s="29">
        <f>+R78</f>
        <v>0</v>
      </c>
      <c r="O86" s="29">
        <f>+S78</f>
        <v>0</v>
      </c>
      <c r="P86" s="29">
        <f t="shared" si="1"/>
        <v>0</v>
      </c>
    </row>
    <row r="87" spans="2:19" x14ac:dyDescent="0.25">
      <c r="E87" t="s">
        <v>292</v>
      </c>
      <c r="F87" s="29">
        <f>+SUM(F50,F53,F54)</f>
        <v>2.4300834612164732</v>
      </c>
      <c r="M87" t="s">
        <v>292</v>
      </c>
      <c r="N87" s="29">
        <f>+R54</f>
        <v>0</v>
      </c>
      <c r="O87" s="29">
        <f>+S54</f>
        <v>2.4300834612164732</v>
      </c>
      <c r="P87" s="29">
        <f t="shared" si="1"/>
        <v>0</v>
      </c>
    </row>
    <row r="88" spans="2:19" x14ac:dyDescent="0.25">
      <c r="E88" t="s">
        <v>293</v>
      </c>
      <c r="F88" s="29">
        <f>+SUM(F68:K68)</f>
        <v>0</v>
      </c>
      <c r="M88" t="s">
        <v>293</v>
      </c>
      <c r="N88" s="29">
        <f>+R65</f>
        <v>0</v>
      </c>
      <c r="O88" s="29">
        <f>+S65</f>
        <v>0</v>
      </c>
      <c r="P88" s="29">
        <f t="shared" si="1"/>
        <v>0</v>
      </c>
    </row>
    <row r="89" spans="2:19" x14ac:dyDescent="0.25">
      <c r="E89" t="s">
        <v>208</v>
      </c>
      <c r="F89" s="29">
        <f>+IF('Datos Prestador'!J253="",'Datos Prestador'!L253,'Datos Prestador'!J253)*SUM(F85:F88)</f>
        <v>0.34021168457030626</v>
      </c>
      <c r="M89" t="s">
        <v>208</v>
      </c>
      <c r="N89" s="29">
        <f>+IF(C38=TRUE,F89,0)</f>
        <v>0</v>
      </c>
      <c r="O89" s="29">
        <f>+IF(C39=TRUE,F89,0)</f>
        <v>0.34021168457030626</v>
      </c>
      <c r="P89" s="29">
        <f t="shared" si="1"/>
        <v>0</v>
      </c>
    </row>
    <row r="90" spans="2:19" x14ac:dyDescent="0.25">
      <c r="E90" t="s">
        <v>294</v>
      </c>
      <c r="F90" s="29">
        <f>+SUM(F86:F89)*$C$34</f>
        <v>2.7739154247899231E-2</v>
      </c>
      <c r="M90" t="s">
        <v>294</v>
      </c>
      <c r="N90" s="29">
        <f>+SUM(N86:N89)*$C$34</f>
        <v>0</v>
      </c>
      <c r="O90" s="29">
        <f>+SUM(O86:O89)*$C$34</f>
        <v>2.7739154247899231E-2</v>
      </c>
      <c r="P90" s="29">
        <f t="shared" si="1"/>
        <v>0</v>
      </c>
    </row>
    <row r="91" spans="2:19" x14ac:dyDescent="0.25">
      <c r="E91" s="10" t="s">
        <v>295</v>
      </c>
      <c r="F91" s="32">
        <f>+SUM(F85:F90)</f>
        <v>2.7980343000346788</v>
      </c>
      <c r="M91" t="s">
        <v>9</v>
      </c>
      <c r="N91" s="29">
        <f>+SUM(N85:N90)</f>
        <v>0</v>
      </c>
      <c r="O91" s="29">
        <f>+SUM(O85:O90)</f>
        <v>2.7980343000346788</v>
      </c>
      <c r="P91" s="29">
        <f>+SUM(P85:P90)</f>
        <v>0</v>
      </c>
    </row>
    <row r="94" spans="2:19" ht="57.75" customHeight="1" x14ac:dyDescent="0.25">
      <c r="B94" s="1207" t="s">
        <v>300</v>
      </c>
      <c r="C94" s="1208"/>
      <c r="D94" s="1208"/>
      <c r="E94" s="1208"/>
      <c r="F94" s="1208"/>
      <c r="G94" s="1208"/>
      <c r="H94" s="1208"/>
      <c r="I94" s="1208"/>
      <c r="J94" s="1208"/>
      <c r="K94" s="1208"/>
      <c r="L94" s="1208"/>
      <c r="M94" s="1208"/>
      <c r="N94" s="1208"/>
      <c r="O94" s="1208"/>
      <c r="P94" s="1208"/>
      <c r="Q94" s="1208"/>
      <c r="R94" s="1208"/>
      <c r="S94" s="1208"/>
    </row>
    <row r="96" spans="2:19" x14ac:dyDescent="0.25">
      <c r="C96" t="b">
        <f>+Tamaño2</f>
        <v>0</v>
      </c>
    </row>
    <row r="97" spans="2:22" x14ac:dyDescent="0.25">
      <c r="B97" s="27" t="s">
        <v>121</v>
      </c>
      <c r="C97" s="27" t="b">
        <f>+C100</f>
        <v>1</v>
      </c>
      <c r="E97" s="1193" t="s">
        <v>291</v>
      </c>
      <c r="F97" s="1193"/>
      <c r="G97" s="1193"/>
      <c r="H97" s="1193"/>
      <c r="I97" s="1193"/>
      <c r="J97" s="1193"/>
      <c r="K97" s="1193"/>
      <c r="L97" s="1193"/>
      <c r="M97" s="1193"/>
      <c r="N97" s="1193"/>
      <c r="O97" s="1193"/>
      <c r="P97" s="1193"/>
      <c r="Q97" s="1193"/>
      <c r="R97" s="1193"/>
      <c r="S97" s="1193"/>
    </row>
    <row r="98" spans="2:22" ht="15.75" x14ac:dyDescent="0.25">
      <c r="B98" s="27"/>
      <c r="C98" s="27"/>
      <c r="E98" s="162" t="s">
        <v>480</v>
      </c>
    </row>
    <row r="99" spans="2:22" x14ac:dyDescent="0.25">
      <c r="B99" s="27" t="s">
        <v>302</v>
      </c>
      <c r="C99" s="27" t="b">
        <v>0</v>
      </c>
      <c r="E99" s="10" t="s">
        <v>314</v>
      </c>
      <c r="F99" s="10" t="str">
        <f>+C120</f>
        <v>Cantidad pequeño</v>
      </c>
      <c r="G99" s="10" t="str">
        <f>+C121</f>
        <v>Selecccione unitario pequeño</v>
      </c>
      <c r="H99" s="10" t="s">
        <v>268</v>
      </c>
      <c r="I99" s="1206" t="s">
        <v>360</v>
      </c>
      <c r="J99" s="1206"/>
      <c r="K99" s="1206"/>
      <c r="M99" t="s">
        <v>471</v>
      </c>
      <c r="N99" t="s">
        <v>424</v>
      </c>
      <c r="O99" t="s">
        <v>137</v>
      </c>
      <c r="Q99" s="10" t="s">
        <v>125</v>
      </c>
      <c r="R99" s="10" t="s">
        <v>424</v>
      </c>
      <c r="S99" s="10" t="s">
        <v>137</v>
      </c>
    </row>
    <row r="100" spans="2:22" x14ac:dyDescent="0.25">
      <c r="B100" s="27" t="s">
        <v>303</v>
      </c>
      <c r="C100" s="27" t="b">
        <v>1</v>
      </c>
      <c r="E100" s="60" t="s">
        <v>315</v>
      </c>
      <c r="F100" s="60">
        <f>+IF('Datos Prestador'!G193="",'Datos Prestador'!J193,'Datos Prestador'!G193)*C114</f>
        <v>0</v>
      </c>
      <c r="G100" s="60">
        <f>+IF('Datos Prestador'!H193="",'Datos Prestador'!M193,'Datos Prestador'!H193)</f>
        <v>0</v>
      </c>
      <c r="H100" s="60">
        <f>+G100*F100</f>
        <v>0</v>
      </c>
      <c r="I100" s="1190">
        <f>+IF(F100&gt;0,PMT($C$34,IF('Datos Prestador'!$O$145="",'Datos Prestador'!$P$145,'Datos Prestador'!$O$145)*12,-'C.Prestador'!H100),0)</f>
        <v>0</v>
      </c>
      <c r="J100" s="1190"/>
      <c r="K100" s="1190"/>
      <c r="M100" t="b">
        <v>0</v>
      </c>
      <c r="N100" t="b">
        <v>0</v>
      </c>
      <c r="O100" t="b">
        <v>1</v>
      </c>
      <c r="Q100" s="2">
        <f>+IF(M100=TRUE,$I100,0)</f>
        <v>0</v>
      </c>
      <c r="R100" s="2">
        <f>+IF(N100=TRUE,$I100,0)</f>
        <v>0</v>
      </c>
      <c r="S100" s="2">
        <f>+IF(O100=TRUE,$I100,0)</f>
        <v>0</v>
      </c>
      <c r="V100" s="29">
        <f>+L100-H100</f>
        <v>0</v>
      </c>
    </row>
    <row r="101" spans="2:22" x14ac:dyDescent="0.25">
      <c r="B101" s="27"/>
      <c r="C101" s="27"/>
      <c r="E101" s="61" t="s">
        <v>168</v>
      </c>
      <c r="F101" s="61">
        <f>+IF('Datos Prestador'!G194="",'Datos Prestador'!J194,'Datos Prestador'!G194)*C114</f>
        <v>0</v>
      </c>
      <c r="G101" s="61">
        <f>+IF('Datos Prestador'!H194="",'Datos Prestador'!M194,'Datos Prestador'!H194)</f>
        <v>0</v>
      </c>
      <c r="H101" s="61">
        <f t="shared" ref="H101:H127" si="2">+G101*F101</f>
        <v>0</v>
      </c>
      <c r="I101" s="1199">
        <f>+IF(F101&gt;0,PMT($C$34,IF('Datos Prestador'!$O$145="",'Datos Prestador'!$P$145,'Datos Prestador'!$O$145)*12,-'C.Prestador'!H101),0)</f>
        <v>0</v>
      </c>
      <c r="J101" s="1199"/>
      <c r="K101" s="1199"/>
      <c r="N101" s="27"/>
      <c r="O101" s="27"/>
      <c r="P101" s="27"/>
      <c r="Q101" s="28"/>
      <c r="R101" s="27"/>
      <c r="S101" s="27"/>
      <c r="V101" s="29">
        <f t="shared" ref="V101:V127" si="3">+L101-H101</f>
        <v>0</v>
      </c>
    </row>
    <row r="102" spans="2:22" x14ac:dyDescent="0.25">
      <c r="E102" s="60" t="s">
        <v>316</v>
      </c>
      <c r="F102" s="60">
        <f>+IF('Datos Prestador'!G195="",'Datos Prestador'!J195,'Datos Prestador'!G195)*C114</f>
        <v>0</v>
      </c>
      <c r="G102" s="60">
        <f>+IF('Datos Prestador'!H195="",'Datos Prestador'!M195,'Datos Prestador'!H195)</f>
        <v>0</v>
      </c>
      <c r="H102" s="60">
        <f t="shared" si="2"/>
        <v>0</v>
      </c>
      <c r="I102" s="1190">
        <f>+IF(F102&gt;0,PMT($C$34,IF('Datos Prestador'!$O$145="",'Datos Prestador'!$P$145,'Datos Prestador'!$O$145)*12,-'C.Prestador'!H102),0)</f>
        <v>0</v>
      </c>
      <c r="J102" s="1190"/>
      <c r="K102" s="1190"/>
      <c r="M102" t="b">
        <v>0</v>
      </c>
      <c r="N102" t="b">
        <v>0</v>
      </c>
      <c r="O102" t="b">
        <v>1</v>
      </c>
      <c r="Q102" s="2">
        <f>+IF(M102=TRUE,$I102,0)</f>
        <v>0</v>
      </c>
      <c r="R102" s="2">
        <f>+IF(N102=TRUE,$I102,0)</f>
        <v>0</v>
      </c>
      <c r="S102" s="2">
        <f>+IF(O102=TRUE,$I102,0)</f>
        <v>0</v>
      </c>
      <c r="V102" s="29">
        <f t="shared" si="3"/>
        <v>0</v>
      </c>
    </row>
    <row r="103" spans="2:22" x14ac:dyDescent="0.25">
      <c r="B103" s="27" t="s">
        <v>156</v>
      </c>
      <c r="C103" s="27"/>
      <c r="E103" s="61" t="s">
        <v>171</v>
      </c>
      <c r="F103" s="61">
        <f>+IF('Datos Prestador'!G196="",'Datos Prestador'!J196,'Datos Prestador'!G196)*C114</f>
        <v>0</v>
      </c>
      <c r="G103" s="61">
        <f>+IF('Datos Prestador'!H196="",'Datos Prestador'!M196,'Datos Prestador'!H196)</f>
        <v>0</v>
      </c>
      <c r="H103" s="61">
        <f t="shared" si="2"/>
        <v>0</v>
      </c>
      <c r="I103" s="1199">
        <f>+IF(F103&gt;0,PMT($C$34,IF('Datos Prestador'!$O$145="",'Datos Prestador'!$P$145,'Datos Prestador'!$O$145)*12,-'C.Prestador'!H103),0)</f>
        <v>0</v>
      </c>
      <c r="J103" s="1199"/>
      <c r="K103" s="1199"/>
      <c r="M103" t="b">
        <v>0</v>
      </c>
      <c r="N103" t="b">
        <v>0</v>
      </c>
      <c r="O103" t="b">
        <v>1</v>
      </c>
      <c r="Q103" s="2">
        <f t="shared" ref="Q103:S126" si="4">+IF(M103=TRUE,$I103,0)</f>
        <v>0</v>
      </c>
      <c r="R103" s="2">
        <f>+IF(N103=TRUE,$I103,0)</f>
        <v>0</v>
      </c>
      <c r="S103" s="2">
        <f>+IF(O103=TRUE,$I103,0)</f>
        <v>0</v>
      </c>
      <c r="V103" s="29">
        <f t="shared" si="3"/>
        <v>0</v>
      </c>
    </row>
    <row r="104" spans="2:22" x14ac:dyDescent="0.25">
      <c r="B104" s="27" t="s">
        <v>157</v>
      </c>
      <c r="C104" s="27" t="b">
        <v>1</v>
      </c>
      <c r="E104" s="60" t="s">
        <v>317</v>
      </c>
      <c r="F104" s="60">
        <f>+IF('Datos Prestador'!G197="",'Datos Prestador'!J197,'Datos Prestador'!G197)*C114</f>
        <v>0</v>
      </c>
      <c r="G104" s="60">
        <f>+IF('Datos Prestador'!H197="",'Datos Prestador'!M197,'Datos Prestador'!H197)</f>
        <v>0</v>
      </c>
      <c r="H104" s="60">
        <f t="shared" si="2"/>
        <v>0</v>
      </c>
      <c r="I104" s="1190">
        <f>+IF(F104&gt;0,PMT($C$34,IF('Datos Prestador'!$O$145="",'Datos Prestador'!$P$145,'Datos Prestador'!$O$145)*12,-'C.Prestador'!H104),0)</f>
        <v>0</v>
      </c>
      <c r="J104" s="1190"/>
      <c r="K104" s="1190"/>
      <c r="N104" s="27"/>
      <c r="O104" s="27"/>
      <c r="P104" s="27"/>
      <c r="Q104" s="28"/>
      <c r="R104" s="27"/>
      <c r="S104" s="27"/>
      <c r="V104" s="29">
        <f t="shared" si="3"/>
        <v>0</v>
      </c>
    </row>
    <row r="105" spans="2:22" x14ac:dyDescent="0.25">
      <c r="B105" s="27" t="s">
        <v>158</v>
      </c>
      <c r="C105" s="27" t="b">
        <v>0</v>
      </c>
      <c r="E105" s="61" t="s">
        <v>173</v>
      </c>
      <c r="F105" s="61">
        <f>+IF('Datos Prestador'!G198="",'Datos Prestador'!J198,'Datos Prestador'!G198)*C114</f>
        <v>0</v>
      </c>
      <c r="G105" s="61">
        <f>+IF('Datos Prestador'!H198="",'Datos Prestador'!M198,'Datos Prestador'!H198)</f>
        <v>0</v>
      </c>
      <c r="H105" s="61">
        <f t="shared" si="2"/>
        <v>0</v>
      </c>
      <c r="I105" s="1199">
        <f>+IF(F105&gt;0,PMT($C$34,IF('Datos Prestador'!$O$145="",'Datos Prestador'!$P$145,'Datos Prestador'!$O$145)*12,-'C.Prestador'!H105),0)</f>
        <v>0</v>
      </c>
      <c r="J105" s="1199"/>
      <c r="K105" s="1199"/>
      <c r="M105" t="b">
        <v>0</v>
      </c>
      <c r="N105" t="b">
        <v>0</v>
      </c>
      <c r="O105" t="b">
        <v>1</v>
      </c>
      <c r="Q105" s="2">
        <f t="shared" si="4"/>
        <v>0</v>
      </c>
      <c r="R105" s="2">
        <f t="shared" si="4"/>
        <v>0</v>
      </c>
      <c r="S105" s="2">
        <f t="shared" si="4"/>
        <v>0</v>
      </c>
      <c r="V105" s="29">
        <f t="shared" si="3"/>
        <v>0</v>
      </c>
    </row>
    <row r="106" spans="2:22" x14ac:dyDescent="0.25">
      <c r="B106" s="27"/>
      <c r="C106" s="27"/>
      <c r="E106" s="60" t="s">
        <v>175</v>
      </c>
      <c r="F106" s="60">
        <f>+IF('Datos Prestador'!G199="",'Datos Prestador'!J199,'Datos Prestador'!G199)*C114</f>
        <v>0</v>
      </c>
      <c r="G106" s="60">
        <f>+IF('Datos Prestador'!H199="",'Datos Prestador'!M199,'Datos Prestador'!H199)</f>
        <v>0</v>
      </c>
      <c r="H106" s="60">
        <f t="shared" si="2"/>
        <v>0</v>
      </c>
      <c r="I106" s="1190">
        <f>+IF(F106&gt;0,PMT($C$34,IF('Datos Prestador'!$O$145="",'Datos Prestador'!$P$145,'Datos Prestador'!$O$145)*12,-'C.Prestador'!H106),0)</f>
        <v>0</v>
      </c>
      <c r="J106" s="1190"/>
      <c r="K106" s="1190"/>
      <c r="M106" t="b">
        <v>0</v>
      </c>
      <c r="N106" t="b">
        <v>0</v>
      </c>
      <c r="O106" t="b">
        <v>1</v>
      </c>
      <c r="Q106" s="2">
        <f t="shared" si="4"/>
        <v>0</v>
      </c>
      <c r="R106" s="2">
        <f t="shared" si="4"/>
        <v>0</v>
      </c>
      <c r="S106" s="2">
        <f t="shared" si="4"/>
        <v>0</v>
      </c>
      <c r="V106" s="29">
        <f t="shared" si="3"/>
        <v>0</v>
      </c>
    </row>
    <row r="107" spans="2:22" x14ac:dyDescent="0.25">
      <c r="E107" s="61" t="s">
        <v>176</v>
      </c>
      <c r="F107" s="61">
        <f>+IF('Datos Prestador'!G200="",'Datos Prestador'!J200,'Datos Prestador'!G200)*C114</f>
        <v>0</v>
      </c>
      <c r="G107" s="61">
        <f>+IF('Datos Prestador'!H200="",'Datos Prestador'!M200,'Datos Prestador'!H200)</f>
        <v>0</v>
      </c>
      <c r="H107" s="61">
        <f t="shared" si="2"/>
        <v>0</v>
      </c>
      <c r="I107" s="1199">
        <f>+IF(F107&gt;0,PMT($C$34,IF('Datos Prestador'!$O$145="",'Datos Prestador'!$P$145,'Datos Prestador'!$O$145)*12,-'C.Prestador'!H107),0)</f>
        <v>0</v>
      </c>
      <c r="J107" s="1199"/>
      <c r="K107" s="1199"/>
      <c r="M107" t="b">
        <v>0</v>
      </c>
      <c r="N107" t="b">
        <v>0</v>
      </c>
      <c r="O107" t="b">
        <v>1</v>
      </c>
      <c r="Q107" s="2">
        <f t="shared" si="4"/>
        <v>0</v>
      </c>
      <c r="R107" s="2">
        <f t="shared" si="4"/>
        <v>0</v>
      </c>
      <c r="S107" s="2">
        <f t="shared" si="4"/>
        <v>0</v>
      </c>
      <c r="V107" s="29">
        <f t="shared" si="3"/>
        <v>0</v>
      </c>
    </row>
    <row r="108" spans="2:22" x14ac:dyDescent="0.25">
      <c r="E108" s="60" t="s">
        <v>177</v>
      </c>
      <c r="F108" s="60">
        <f>+IF('Datos Prestador'!G201="",'Datos Prestador'!J201,'Datos Prestador'!G201)*C114</f>
        <v>0</v>
      </c>
      <c r="G108" s="60">
        <f>+IF('Datos Prestador'!H201="",'Datos Prestador'!M201,'Datos Prestador'!H201)</f>
        <v>0</v>
      </c>
      <c r="H108" s="60">
        <f t="shared" si="2"/>
        <v>0</v>
      </c>
      <c r="I108" s="1190">
        <f>+IF(F108&gt;0,PMT($C$34,IF('Datos Prestador'!$O$145="",'Datos Prestador'!$P$145,'Datos Prestador'!$O$145)*12,-'C.Prestador'!H108),0)</f>
        <v>0</v>
      </c>
      <c r="J108" s="1190"/>
      <c r="K108" s="1190"/>
      <c r="M108" t="b">
        <v>0</v>
      </c>
      <c r="N108" t="b">
        <v>0</v>
      </c>
      <c r="O108" t="b">
        <v>1</v>
      </c>
      <c r="Q108" s="2">
        <f t="shared" si="4"/>
        <v>0</v>
      </c>
      <c r="R108" s="2">
        <f t="shared" si="4"/>
        <v>0</v>
      </c>
      <c r="S108" s="2">
        <f t="shared" si="4"/>
        <v>0</v>
      </c>
      <c r="V108" s="29">
        <f t="shared" si="3"/>
        <v>0</v>
      </c>
    </row>
    <row r="109" spans="2:22" x14ac:dyDescent="0.25">
      <c r="B109" s="27" t="str">
        <f>B19</f>
        <v>TON/AÑO</v>
      </c>
      <c r="C109" s="28">
        <f>C19</f>
        <v>0</v>
      </c>
      <c r="E109" s="61" t="s">
        <v>178</v>
      </c>
      <c r="F109" s="61">
        <f>+IF('Datos Prestador'!G202="",'Datos Prestador'!J202,'Datos Prestador'!G202)*C114</f>
        <v>0</v>
      </c>
      <c r="G109" s="61">
        <f>+IF('Datos Prestador'!H202="",'Datos Prestador'!M202,'Datos Prestador'!H202)</f>
        <v>0</v>
      </c>
      <c r="H109" s="61">
        <f t="shared" si="2"/>
        <v>0</v>
      </c>
      <c r="I109" s="1199">
        <f>+IF(F109&gt;0,PMT($C$34,IF('Datos Prestador'!$O$145="",'Datos Prestador'!$P$145,'Datos Prestador'!$O$145)*12,-'C.Prestador'!H109),0)</f>
        <v>0</v>
      </c>
      <c r="J109" s="1199"/>
      <c r="K109" s="1199"/>
      <c r="M109" t="b">
        <v>0</v>
      </c>
      <c r="N109" t="b">
        <v>0</v>
      </c>
      <c r="O109" t="b">
        <v>1</v>
      </c>
      <c r="Q109" s="2">
        <f t="shared" si="4"/>
        <v>0</v>
      </c>
      <c r="R109" s="2">
        <f t="shared" si="4"/>
        <v>0</v>
      </c>
      <c r="S109" s="2">
        <f t="shared" si="4"/>
        <v>0</v>
      </c>
      <c r="V109" s="29">
        <f t="shared" si="3"/>
        <v>0</v>
      </c>
    </row>
    <row r="110" spans="2:22" x14ac:dyDescent="0.25">
      <c r="B110" s="27" t="str">
        <f>B20</f>
        <v>TON/MES</v>
      </c>
      <c r="C110" s="28">
        <f>C20</f>
        <v>0</v>
      </c>
      <c r="E110" s="60" t="s">
        <v>179</v>
      </c>
      <c r="F110" s="60">
        <f>+IF('Datos Prestador'!G203="",'Datos Prestador'!J203,'Datos Prestador'!G203)*C114</f>
        <v>0</v>
      </c>
      <c r="G110" s="60">
        <f>+IF('Datos Prestador'!H203="",'Datos Prestador'!M203,'Datos Prestador'!H203)</f>
        <v>0</v>
      </c>
      <c r="H110" s="60">
        <f t="shared" si="2"/>
        <v>0</v>
      </c>
      <c r="I110" s="1190">
        <f>+IF(F110&gt;0,PMT($C$34,IF('Datos Prestador'!$O$145="",'Datos Prestador'!$P$145,'Datos Prestador'!$O$145)*12,-'C.Prestador'!H110),0)</f>
        <v>0</v>
      </c>
      <c r="J110" s="1190"/>
      <c r="K110" s="1190"/>
      <c r="M110" t="b">
        <v>0</v>
      </c>
      <c r="N110" t="b">
        <v>0</v>
      </c>
      <c r="O110" t="b">
        <v>1</v>
      </c>
      <c r="Q110" s="2">
        <f t="shared" si="4"/>
        <v>0</v>
      </c>
      <c r="R110" s="2">
        <f t="shared" si="4"/>
        <v>0</v>
      </c>
      <c r="S110" s="2">
        <f t="shared" si="4"/>
        <v>0</v>
      </c>
      <c r="V110" s="29">
        <f t="shared" si="3"/>
        <v>0</v>
      </c>
    </row>
    <row r="111" spans="2:22" x14ac:dyDescent="0.25">
      <c r="B111" s="27" t="s">
        <v>342</v>
      </c>
      <c r="C111" s="28">
        <f>+ptmes/(IF('Datos Prestador'!O157="",'Datos Prestador'!P157,'Datos Prestador'!O157)*IF('Datos Prestador'!O158="",'Datos Prestador'!P158,'Datos Prestador'!O158)*IF('Datos Prestador'!O159="",'Datos Prestador'!P159,'Datos Prestador'!O159))</f>
        <v>0</v>
      </c>
      <c r="E111" s="61" t="s">
        <v>318</v>
      </c>
      <c r="F111" s="61">
        <f>+IF('Datos Prestador'!G204="",'Datos Prestador'!J204,'Datos Prestador'!G204)*C114</f>
        <v>0</v>
      </c>
      <c r="G111" s="61">
        <f>+IF('Datos Prestador'!H204="",'Datos Prestador'!M204,'Datos Prestador'!H204)</f>
        <v>0</v>
      </c>
      <c r="H111" s="61">
        <f t="shared" si="2"/>
        <v>0</v>
      </c>
      <c r="I111" s="1199">
        <f>+IF(F111&gt;0,PMT($C$34,IF('Datos Prestador'!$O$145="",'Datos Prestador'!$P$145,'Datos Prestador'!$O$145)*12,-'C.Prestador'!H111),0)</f>
        <v>0</v>
      </c>
      <c r="J111" s="1199"/>
      <c r="K111" s="1199"/>
      <c r="M111" t="b">
        <v>0</v>
      </c>
      <c r="N111" t="b">
        <v>0</v>
      </c>
      <c r="O111" t="b">
        <v>1</v>
      </c>
      <c r="Q111" s="2">
        <f t="shared" si="4"/>
        <v>0</v>
      </c>
      <c r="R111" s="2">
        <f t="shared" si="4"/>
        <v>0</v>
      </c>
      <c r="S111" s="2">
        <f t="shared" si="4"/>
        <v>0</v>
      </c>
      <c r="V111" s="29">
        <f t="shared" si="3"/>
        <v>0</v>
      </c>
    </row>
    <row r="112" spans="2:22" x14ac:dyDescent="0.25">
      <c r="E112" s="60" t="s">
        <v>319</v>
      </c>
      <c r="F112" s="60">
        <f>+IF('Datos Prestador'!G205="",'Datos Prestador'!J205,'Datos Prestador'!G205)*C114</f>
        <v>0</v>
      </c>
      <c r="G112" s="60">
        <f>+IF('Datos Prestador'!H205="",'Datos Prestador'!M205,'Datos Prestador'!H205)</f>
        <v>0</v>
      </c>
      <c r="H112" s="60">
        <f t="shared" si="2"/>
        <v>0</v>
      </c>
      <c r="I112" s="1190">
        <f>+IF(F112&gt;0,PMT($C$34,IF('Datos Prestador'!$O$145="",'Datos Prestador'!$P$145,'Datos Prestador'!$O$145)*12,-'C.Prestador'!H112),0)</f>
        <v>0</v>
      </c>
      <c r="J112" s="1190"/>
      <c r="K112" s="1190"/>
      <c r="M112" t="b">
        <v>0</v>
      </c>
      <c r="N112" t="b">
        <v>0</v>
      </c>
      <c r="O112" t="b">
        <v>1</v>
      </c>
      <c r="Q112" s="2">
        <f t="shared" si="4"/>
        <v>0</v>
      </c>
      <c r="R112" s="2">
        <f t="shared" si="4"/>
        <v>0</v>
      </c>
      <c r="S112" s="2">
        <f t="shared" si="4"/>
        <v>0</v>
      </c>
      <c r="V112" s="29">
        <f t="shared" si="3"/>
        <v>0</v>
      </c>
    </row>
    <row r="113" spans="2:22" x14ac:dyDescent="0.25">
      <c r="B113" s="27" t="s">
        <v>677</v>
      </c>
      <c r="C113" s="28">
        <f>+IF(C96=TRUE,'Datos Prestador'!I147,'Datos Prestador'!G148)</f>
        <v>0</v>
      </c>
      <c r="E113" s="61" t="s">
        <v>183</v>
      </c>
      <c r="F113" s="61">
        <f>+IF('Datos Prestador'!G206="",'Datos Prestador'!J206,'Datos Prestador'!G206)*C114</f>
        <v>0</v>
      </c>
      <c r="G113" s="61">
        <f>+IF('Datos Prestador'!H206="",'Datos Prestador'!M206,'Datos Prestador'!H206)</f>
        <v>0</v>
      </c>
      <c r="H113" s="61">
        <f t="shared" si="2"/>
        <v>0</v>
      </c>
      <c r="I113" s="1199">
        <f>+IF(F113&gt;0,PMT($C$34,IF('Datos Prestador'!$O$145="",'Datos Prestador'!$P$145,'Datos Prestador'!$O$145)*12,-'C.Prestador'!H113),0)</f>
        <v>0</v>
      </c>
      <c r="J113" s="1199"/>
      <c r="K113" s="1199"/>
      <c r="M113" t="b">
        <v>0</v>
      </c>
      <c r="N113" t="b">
        <v>0</v>
      </c>
      <c r="O113" t="b">
        <v>1</v>
      </c>
      <c r="Q113" s="2">
        <f t="shared" si="4"/>
        <v>0</v>
      </c>
      <c r="R113" s="2">
        <f t="shared" si="4"/>
        <v>0</v>
      </c>
      <c r="S113" s="2">
        <f t="shared" si="4"/>
        <v>0</v>
      </c>
      <c r="V113" s="29">
        <f t="shared" si="3"/>
        <v>0</v>
      </c>
    </row>
    <row r="114" spans="2:22" x14ac:dyDescent="0.25">
      <c r="B114" s="27" t="s">
        <v>353</v>
      </c>
      <c r="C114" s="28">
        <f>+IF(C99=FALSE,'Datos Prestador'!G147,'Datos Prestador'!I148)</f>
        <v>0</v>
      </c>
      <c r="E114" s="60" t="s">
        <v>184</v>
      </c>
      <c r="F114" s="60">
        <f>+IF('Datos Prestador'!G207="",'Datos Prestador'!J207,'Datos Prestador'!G207)*C114</f>
        <v>0</v>
      </c>
      <c r="G114" s="60">
        <f>+IF('Datos Prestador'!H207="",'Datos Prestador'!M207,'Datos Prestador'!H207)</f>
        <v>0</v>
      </c>
      <c r="H114" s="60">
        <f t="shared" si="2"/>
        <v>0</v>
      </c>
      <c r="I114" s="1190">
        <f>+IF(F114&gt;0,PMT($C$34,IF('Datos Prestador'!$O$145="",'Datos Prestador'!$P$145,'Datos Prestador'!$O$145)*12,-'C.Prestador'!H114),0)</f>
        <v>0</v>
      </c>
      <c r="J114" s="1190"/>
      <c r="K114" s="1190"/>
      <c r="M114" t="b">
        <v>0</v>
      </c>
      <c r="N114" t="b">
        <v>0</v>
      </c>
      <c r="O114" t="b">
        <v>1</v>
      </c>
      <c r="Q114" s="2">
        <f t="shared" si="4"/>
        <v>0</v>
      </c>
      <c r="R114" s="2">
        <f t="shared" si="4"/>
        <v>0</v>
      </c>
      <c r="S114" s="2">
        <f t="shared" si="4"/>
        <v>0</v>
      </c>
      <c r="V114" s="29">
        <f t="shared" si="3"/>
        <v>0</v>
      </c>
    </row>
    <row r="115" spans="2:22" x14ac:dyDescent="0.25">
      <c r="B115" s="27" t="s">
        <v>301</v>
      </c>
      <c r="C115" s="28">
        <f>+'Datos Prestador'!G149</f>
        <v>0</v>
      </c>
      <c r="E115" s="61" t="s">
        <v>185</v>
      </c>
      <c r="F115" s="61">
        <f>+IF('Datos Prestador'!G208="",'Datos Prestador'!J208,'Datos Prestador'!G208)*C114</f>
        <v>0</v>
      </c>
      <c r="G115" s="61">
        <f>+IF('Datos Prestador'!H208="",'Datos Prestador'!M208,'Datos Prestador'!H208)</f>
        <v>0</v>
      </c>
      <c r="H115" s="61">
        <f t="shared" si="2"/>
        <v>0</v>
      </c>
      <c r="I115" s="1199">
        <f>+IF(F115&gt;0,PMT($C$34,IF('Datos Prestador'!$O$145="",'Datos Prestador'!$P$145,'Datos Prestador'!$O$145)*12,-'C.Prestador'!H115),0)</f>
        <v>0</v>
      </c>
      <c r="J115" s="1199"/>
      <c r="K115" s="1199"/>
      <c r="M115" t="b">
        <v>0</v>
      </c>
      <c r="N115" t="b">
        <v>0</v>
      </c>
      <c r="O115" t="b">
        <v>1</v>
      </c>
      <c r="Q115" s="2">
        <f t="shared" si="4"/>
        <v>0</v>
      </c>
      <c r="R115" s="2">
        <f t="shared" si="4"/>
        <v>0</v>
      </c>
      <c r="S115" s="2">
        <f t="shared" si="4"/>
        <v>0</v>
      </c>
      <c r="V115" s="29">
        <f t="shared" si="3"/>
        <v>0</v>
      </c>
    </row>
    <row r="116" spans="2:22" x14ac:dyDescent="0.25">
      <c r="B116" s="27" t="s">
        <v>148</v>
      </c>
      <c r="C116" s="28">
        <f>+C114*C113-C115</f>
        <v>0</v>
      </c>
      <c r="E116" s="60" t="s">
        <v>186</v>
      </c>
      <c r="F116" s="60">
        <f>+IF('Datos Prestador'!G209="",'Datos Prestador'!J209,'Datos Prestador'!G209)*C114</f>
        <v>0</v>
      </c>
      <c r="G116" s="60">
        <f>+IF('Datos Prestador'!H209="",'Datos Prestador'!M209,'Datos Prestador'!H209)</f>
        <v>0</v>
      </c>
      <c r="H116" s="60">
        <f t="shared" si="2"/>
        <v>0</v>
      </c>
      <c r="I116" s="1190">
        <f>+IF(F116&gt;0,PMT($C$34,IF('Datos Prestador'!$O$145="",'Datos Prestador'!$P$145,'Datos Prestador'!$O$145)*12,-'C.Prestador'!H116),0)</f>
        <v>0</v>
      </c>
      <c r="J116" s="1190"/>
      <c r="K116" s="1190"/>
      <c r="M116" t="b">
        <v>0</v>
      </c>
      <c r="N116" t="b">
        <v>0</v>
      </c>
      <c r="O116" t="b">
        <v>1</v>
      </c>
      <c r="Q116" s="2">
        <f t="shared" si="4"/>
        <v>0</v>
      </c>
      <c r="R116" s="2">
        <f t="shared" si="4"/>
        <v>0</v>
      </c>
      <c r="S116" s="2">
        <f t="shared" si="4"/>
        <v>0</v>
      </c>
      <c r="V116" s="29">
        <f t="shared" si="3"/>
        <v>0</v>
      </c>
    </row>
    <row r="117" spans="2:22" x14ac:dyDescent="0.25">
      <c r="B117" s="27" t="s">
        <v>305</v>
      </c>
      <c r="C117" s="28" t="e">
        <f>+ptmes/C114</f>
        <v>#DIV/0!</v>
      </c>
      <c r="E117" s="61" t="s">
        <v>320</v>
      </c>
      <c r="F117" s="61">
        <f>+IF('Datos Prestador'!G211="",'Datos Prestador'!J211,'Datos Prestador'!G211)*C114</f>
        <v>0</v>
      </c>
      <c r="G117" s="61">
        <f>+IF('Datos Prestador'!H211="",'Datos Prestador'!M211,'Datos Prestador'!H211)</f>
        <v>0</v>
      </c>
      <c r="H117" s="61">
        <f t="shared" si="2"/>
        <v>0</v>
      </c>
      <c r="I117" s="1199">
        <f>+IF(F117&gt;0,PMT($C$34,IF('Datos Prestador'!$O$145="",'Datos Prestador'!$P$145,'Datos Prestador'!$O$145)*12,-'C.Prestador'!H117),0)</f>
        <v>0</v>
      </c>
      <c r="J117" s="1199"/>
      <c r="K117" s="1199"/>
      <c r="M117" t="b">
        <v>0</v>
      </c>
      <c r="N117" t="b">
        <v>0</v>
      </c>
      <c r="O117" t="b">
        <v>1</v>
      </c>
      <c r="Q117" s="2">
        <f t="shared" si="4"/>
        <v>0</v>
      </c>
      <c r="R117" s="2">
        <f t="shared" si="4"/>
        <v>0</v>
      </c>
      <c r="S117" s="2">
        <f t="shared" si="4"/>
        <v>0</v>
      </c>
      <c r="V117" s="29">
        <f>+L117-H117</f>
        <v>0</v>
      </c>
    </row>
    <row r="118" spans="2:22" x14ac:dyDescent="0.25">
      <c r="B118" s="27" t="s">
        <v>352</v>
      </c>
      <c r="C118" s="28" t="e">
        <f>+C117/(IF('Datos Prestador'!O157="",'Datos Prestador'!P157,'Datos Prestador'!O157)*IF('Datos Prestador'!O158="",'Datos Prestador'!P158,'Datos Prestador'!O158)*IF('Datos Prestador'!O159="",'Datos Prestador'!P159,'Datos Prestador'!O159))</f>
        <v>#DIV/0!</v>
      </c>
      <c r="E118" s="60" t="s">
        <v>321</v>
      </c>
      <c r="F118" s="60">
        <f>+IF('Datos Prestador'!G212="",'Datos Prestador'!J212,'Datos Prestador'!G212)*C114</f>
        <v>0</v>
      </c>
      <c r="G118" s="60">
        <f>+IF('Datos Prestador'!H212="",'Datos Prestador'!M212,'Datos Prestador'!H212)</f>
        <v>0</v>
      </c>
      <c r="H118" s="60">
        <f t="shared" si="2"/>
        <v>0</v>
      </c>
      <c r="I118" s="1190">
        <f>+IF(F118&gt;0,PMT($C$34,IF('Datos Prestador'!$O$145="",'Datos Prestador'!$P$145,'Datos Prestador'!$O$145)*12,-'C.Prestador'!H118),0)</f>
        <v>0</v>
      </c>
      <c r="J118" s="1190"/>
      <c r="K118" s="1190"/>
      <c r="M118" t="b">
        <v>0</v>
      </c>
      <c r="N118" t="b">
        <v>0</v>
      </c>
      <c r="O118" t="b">
        <v>1</v>
      </c>
      <c r="Q118" s="2">
        <f t="shared" si="4"/>
        <v>0</v>
      </c>
      <c r="R118" s="2">
        <f t="shared" si="4"/>
        <v>0</v>
      </c>
      <c r="S118" s="2">
        <f t="shared" si="4"/>
        <v>0</v>
      </c>
      <c r="V118" s="29">
        <f t="shared" si="3"/>
        <v>0</v>
      </c>
    </row>
    <row r="119" spans="2:22" x14ac:dyDescent="0.25">
      <c r="E119" s="61" t="s">
        <v>189</v>
      </c>
      <c r="F119" s="61">
        <f>+IF('Datos Prestador'!G213="",'Datos Prestador'!J213,'Datos Prestador'!G213)*C114</f>
        <v>0</v>
      </c>
      <c r="G119" s="61">
        <f>+IF('Datos Prestador'!H213="",'Datos Prestador'!M213,'Datos Prestador'!H213)</f>
        <v>0</v>
      </c>
      <c r="H119" s="61">
        <f t="shared" si="2"/>
        <v>0</v>
      </c>
      <c r="I119" s="1199">
        <f>+IF(F119&gt;0,PMT($C$34,IF('Datos Prestador'!$O$145="",'Datos Prestador'!$P$145,'Datos Prestador'!$O$145)*12,-'C.Prestador'!H119),0)</f>
        <v>0</v>
      </c>
      <c r="J119" s="1199"/>
      <c r="K119" s="1199"/>
      <c r="M119" t="b">
        <v>0</v>
      </c>
      <c r="N119" t="b">
        <v>0</v>
      </c>
      <c r="O119" t="b">
        <v>1</v>
      </c>
      <c r="Q119" s="2">
        <f t="shared" si="4"/>
        <v>0</v>
      </c>
      <c r="R119" s="2">
        <f t="shared" si="4"/>
        <v>0</v>
      </c>
      <c r="S119" s="2">
        <f t="shared" si="4"/>
        <v>0</v>
      </c>
      <c r="V119" s="29">
        <f t="shared" si="3"/>
        <v>0</v>
      </c>
    </row>
    <row r="120" spans="2:22" x14ac:dyDescent="0.25">
      <c r="B120" s="27" t="s">
        <v>86</v>
      </c>
      <c r="C120" s="27" t="str">
        <f>+CONCATENATE("Cantidad"," ",IF('C.Prestador'!C113&lt;1560,"pequeño",IF('C.Prestador'!C113&lt;15000,"mediano","grande")))</f>
        <v>Cantidad pequeño</v>
      </c>
      <c r="E120" s="60" t="s">
        <v>190</v>
      </c>
      <c r="F120" s="60">
        <f>+IF('Datos Prestador'!G214="",'Datos Prestador'!J214,'Datos Prestador'!G214)*C114</f>
        <v>0</v>
      </c>
      <c r="G120" s="60">
        <f>+IF('Datos Prestador'!H214="",'Datos Prestador'!M214,'Datos Prestador'!H214)</f>
        <v>0</v>
      </c>
      <c r="H120" s="60">
        <f t="shared" si="2"/>
        <v>0</v>
      </c>
      <c r="I120" s="1190">
        <f>+IF(F120&gt;0,PMT($C$34,IF('Datos Prestador'!$O$145="",'Datos Prestador'!$P$145,'Datos Prestador'!$O$145)*12,-'C.Prestador'!H120),0)</f>
        <v>0</v>
      </c>
      <c r="J120" s="1190"/>
      <c r="K120" s="1190"/>
      <c r="M120" t="b">
        <v>0</v>
      </c>
      <c r="N120" t="b">
        <v>0</v>
      </c>
      <c r="O120" t="b">
        <v>1</v>
      </c>
      <c r="Q120" s="2">
        <f t="shared" si="4"/>
        <v>0</v>
      </c>
      <c r="R120" s="2">
        <f t="shared" si="4"/>
        <v>0</v>
      </c>
      <c r="S120" s="2">
        <f t="shared" si="4"/>
        <v>0</v>
      </c>
      <c r="V120" s="29">
        <f t="shared" si="3"/>
        <v>0</v>
      </c>
    </row>
    <row r="121" spans="2:22" x14ac:dyDescent="0.25">
      <c r="B121" s="27"/>
      <c r="C121" s="27" t="str">
        <f>+CONCATENATE('Datos Generales'!K11," ","unitario"," ",IF('C.Prestador'!C113&lt;1560,"pequeño",IF('C.Prestador'!C113&lt;15000,"mediano","grande")))</f>
        <v>Selecccione unitario pequeño</v>
      </c>
      <c r="E121" s="61" t="s">
        <v>192</v>
      </c>
      <c r="F121" s="61">
        <f>+IF('Datos Prestador'!G215="",'Datos Prestador'!J215,'Datos Prestador'!G215)*C114</f>
        <v>0</v>
      </c>
      <c r="G121" s="61">
        <f>+IF('Datos Prestador'!H215="",'Datos Prestador'!M215,'Datos Prestador'!H215)</f>
        <v>0</v>
      </c>
      <c r="H121" s="61">
        <f t="shared" si="2"/>
        <v>0</v>
      </c>
      <c r="I121" s="1199">
        <f>+IF(F121&gt;0,PMT($C$34,IF('Datos Prestador'!$O$145="",'Datos Prestador'!$P$145,'Datos Prestador'!$O$145)*12,-'C.Prestador'!H121),0)</f>
        <v>0</v>
      </c>
      <c r="J121" s="1199"/>
      <c r="K121" s="1199"/>
      <c r="M121" t="b">
        <v>0</v>
      </c>
      <c r="N121" t="b">
        <v>0</v>
      </c>
      <c r="O121" t="b">
        <v>1</v>
      </c>
      <c r="Q121" s="2">
        <f t="shared" si="4"/>
        <v>0</v>
      </c>
      <c r="R121" s="2">
        <f t="shared" si="4"/>
        <v>0</v>
      </c>
      <c r="S121" s="2">
        <f t="shared" si="4"/>
        <v>0</v>
      </c>
      <c r="V121" s="29">
        <f t="shared" si="3"/>
        <v>0</v>
      </c>
    </row>
    <row r="122" spans="2:22" x14ac:dyDescent="0.25">
      <c r="B122" s="27"/>
      <c r="C122" s="27" t="str">
        <f>+CONCATENATE('Datos Generales'!K11," ","total"," ",IF('C.Prestador'!C113&lt;1560,"pequeño",IF('C.Prestador'!C113&lt;15000,"mediano","grande")))</f>
        <v>Selecccione total pequeño</v>
      </c>
      <c r="E122" s="60" t="s">
        <v>193</v>
      </c>
      <c r="F122" s="60">
        <f>+IF('Datos Prestador'!G216="",'Datos Prestador'!J216,'Datos Prestador'!G216)*C114</f>
        <v>0</v>
      </c>
      <c r="G122" s="60">
        <f>+IF('Datos Prestador'!H216="",'Datos Prestador'!M216,'Datos Prestador'!H216)</f>
        <v>0</v>
      </c>
      <c r="H122" s="60">
        <f t="shared" si="2"/>
        <v>0</v>
      </c>
      <c r="I122" s="1190">
        <f>+IF(F122&gt;0,PMT($C$34,IF('Datos Prestador'!$O$145="",'Datos Prestador'!$P$145,'Datos Prestador'!$O$145)*12,-'C.Prestador'!H122),0)</f>
        <v>0</v>
      </c>
      <c r="J122" s="1190"/>
      <c r="K122" s="1190"/>
      <c r="M122" t="b">
        <v>0</v>
      </c>
      <c r="N122" t="b">
        <v>0</v>
      </c>
      <c r="O122" t="b">
        <v>1</v>
      </c>
      <c r="Q122" s="2">
        <f t="shared" si="4"/>
        <v>0</v>
      </c>
      <c r="R122" s="2">
        <f t="shared" si="4"/>
        <v>0</v>
      </c>
      <c r="S122" s="2">
        <f t="shared" si="4"/>
        <v>0</v>
      </c>
      <c r="V122" s="29">
        <f t="shared" si="3"/>
        <v>0</v>
      </c>
    </row>
    <row r="123" spans="2:22" x14ac:dyDescent="0.25">
      <c r="E123" s="61" t="s">
        <v>322</v>
      </c>
      <c r="F123" s="61">
        <f>+IF('Datos Prestador'!G217="",'Datos Prestador'!J217,'Datos Prestador'!G217)*C114</f>
        <v>0</v>
      </c>
      <c r="G123" s="61">
        <f>+IF('Datos Prestador'!H217="",'Datos Prestador'!M217,'Datos Prestador'!H217)</f>
        <v>0</v>
      </c>
      <c r="H123" s="61">
        <f t="shared" si="2"/>
        <v>0</v>
      </c>
      <c r="I123" s="1199">
        <f>+IF(F123&gt;0,PMT($C$34,IF('Datos Prestador'!$O$145="",'Datos Prestador'!$P$145,'Datos Prestador'!$O$145)*12,-'C.Prestador'!H123),0)</f>
        <v>0</v>
      </c>
      <c r="J123" s="1199"/>
      <c r="K123" s="1199"/>
      <c r="M123" t="b">
        <v>0</v>
      </c>
      <c r="N123" t="b">
        <v>0</v>
      </c>
      <c r="O123" t="b">
        <v>1</v>
      </c>
      <c r="Q123" s="2">
        <f>+IF(M123=TRUE,$I123,0)</f>
        <v>0</v>
      </c>
      <c r="R123" s="2">
        <f t="shared" si="4"/>
        <v>0</v>
      </c>
      <c r="S123" s="2">
        <f t="shared" si="4"/>
        <v>0</v>
      </c>
      <c r="V123" s="29">
        <f t="shared" si="3"/>
        <v>0</v>
      </c>
    </row>
    <row r="124" spans="2:22" x14ac:dyDescent="0.25">
      <c r="E124" s="60" t="s">
        <v>195</v>
      </c>
      <c r="F124" s="60">
        <f>+IF('Datos Prestador'!G218="",'Datos Prestador'!J218,'Datos Prestador'!G218)*C114</f>
        <v>0</v>
      </c>
      <c r="G124" s="60">
        <f>+IF('Datos Prestador'!H218="",'Datos Prestador'!M218,'Datos Prestador'!H218)</f>
        <v>0</v>
      </c>
      <c r="H124" s="60">
        <f t="shared" si="2"/>
        <v>0</v>
      </c>
      <c r="I124" s="1190">
        <f>+IF(F124&gt;0,PMT($C$34,IF('Datos Prestador'!$O$145="",'Datos Prestador'!$P$145,'Datos Prestador'!$O$145)*12,-'C.Prestador'!H124),0)</f>
        <v>0</v>
      </c>
      <c r="J124" s="1190"/>
      <c r="K124" s="1190"/>
      <c r="M124" t="b">
        <v>0</v>
      </c>
      <c r="N124" t="b">
        <v>0</v>
      </c>
      <c r="O124" t="b">
        <v>1</v>
      </c>
      <c r="Q124" s="2">
        <f t="shared" si="4"/>
        <v>0</v>
      </c>
      <c r="R124" s="2">
        <f t="shared" si="4"/>
        <v>0</v>
      </c>
      <c r="S124" s="2">
        <f t="shared" si="4"/>
        <v>0</v>
      </c>
      <c r="V124" s="29">
        <f t="shared" si="3"/>
        <v>0</v>
      </c>
    </row>
    <row r="125" spans="2:22" x14ac:dyDescent="0.25">
      <c r="E125" s="61" t="s">
        <v>196</v>
      </c>
      <c r="F125" s="61">
        <f>+IF('Datos Prestador'!G219="",'Datos Prestador'!J219,'Datos Prestador'!G219)*C114</f>
        <v>0</v>
      </c>
      <c r="G125" s="61">
        <f>+IF('Datos Prestador'!H219="",'Datos Prestador'!M219,'Datos Prestador'!H219)</f>
        <v>0</v>
      </c>
      <c r="H125" s="61">
        <f t="shared" si="2"/>
        <v>0</v>
      </c>
      <c r="I125" s="1199">
        <f>+IF(F125&gt;0,PMT($C$34,IF('Datos Prestador'!$O$145="",'Datos Prestador'!$P$145,'Datos Prestador'!$O$145)*12,-'C.Prestador'!H125),0)</f>
        <v>0</v>
      </c>
      <c r="J125" s="1199"/>
      <c r="K125" s="1199"/>
      <c r="M125" t="b">
        <v>0</v>
      </c>
      <c r="N125" t="b">
        <v>0</v>
      </c>
      <c r="O125" t="b">
        <v>1</v>
      </c>
      <c r="Q125" s="2">
        <f t="shared" si="4"/>
        <v>0</v>
      </c>
      <c r="R125" s="2">
        <f t="shared" si="4"/>
        <v>0</v>
      </c>
      <c r="S125" s="2">
        <f t="shared" si="4"/>
        <v>0</v>
      </c>
      <c r="V125" s="29">
        <f t="shared" si="3"/>
        <v>0</v>
      </c>
    </row>
    <row r="126" spans="2:22" x14ac:dyDescent="0.25">
      <c r="E126" s="60" t="s">
        <v>197</v>
      </c>
      <c r="F126" s="60">
        <f>+IF('Datos Prestador'!G220="",'Datos Prestador'!J220,'Datos Prestador'!G220)*C114</f>
        <v>0</v>
      </c>
      <c r="G126" s="60">
        <f>+IF('Datos Prestador'!H220="",'Datos Prestador'!M220,'Datos Prestador'!H220)</f>
        <v>0</v>
      </c>
      <c r="H126" s="60">
        <f t="shared" si="2"/>
        <v>0</v>
      </c>
      <c r="I126" s="1190">
        <f>+IF(F126&gt;0,PMT($C$34,IF('Datos Prestador'!$O$145="",'Datos Prestador'!$P$145,'Datos Prestador'!$O$145)*12,-'C.Prestador'!H126),0)</f>
        <v>0</v>
      </c>
      <c r="J126" s="1190"/>
      <c r="K126" s="1190"/>
      <c r="M126" t="b">
        <v>0</v>
      </c>
      <c r="N126" t="b">
        <v>0</v>
      </c>
      <c r="O126" t="b">
        <v>1</v>
      </c>
      <c r="Q126" s="2">
        <f t="shared" si="4"/>
        <v>0</v>
      </c>
      <c r="R126" s="2">
        <f t="shared" si="4"/>
        <v>0</v>
      </c>
      <c r="S126" s="2">
        <f t="shared" si="4"/>
        <v>0</v>
      </c>
      <c r="V126" s="29">
        <f t="shared" si="3"/>
        <v>0</v>
      </c>
    </row>
    <row r="127" spans="2:22" x14ac:dyDescent="0.25">
      <c r="E127" t="str">
        <f>+'Datos Prestador'!D210</f>
        <v>Embaladora automática</v>
      </c>
      <c r="F127" s="29">
        <f>+IF('Datos Prestador'!G210="",'Datos Prestador'!J210,'Datos Prestador'!G210)*C114</f>
        <v>0</v>
      </c>
      <c r="G127">
        <f>+IF('Datos Prestador'!H210="",'Datos Prestador'!M210,'Datos Prestador'!H210)</f>
        <v>39000</v>
      </c>
      <c r="H127" s="61">
        <f t="shared" si="2"/>
        <v>0</v>
      </c>
      <c r="I127" s="1199">
        <f>+IF(F127&gt;0,PMT($C$34,IF('Datos Prestador'!$O$145="",'Datos Prestador'!$P$145,'Datos Prestador'!$O$145)*12,-'C.Prestador'!H127),0)</f>
        <v>0</v>
      </c>
      <c r="J127" s="1199"/>
      <c r="K127" s="1199"/>
      <c r="M127" t="b">
        <v>0</v>
      </c>
      <c r="N127" t="b">
        <v>0</v>
      </c>
      <c r="O127" t="b">
        <v>1</v>
      </c>
      <c r="Q127" s="2">
        <f>+IF(M127=TRUE,$I127,0)</f>
        <v>0</v>
      </c>
      <c r="R127" s="2">
        <f>+IF(N127=TRUE,$I127,0)</f>
        <v>0</v>
      </c>
      <c r="S127" s="2">
        <f>+IF(O127=TRUE,$I127,0)</f>
        <v>0</v>
      </c>
      <c r="V127" s="29">
        <f t="shared" si="3"/>
        <v>0</v>
      </c>
    </row>
    <row r="128" spans="2:22" x14ac:dyDescent="0.25">
      <c r="E128" s="62" t="s">
        <v>9</v>
      </c>
      <c r="H128" s="32">
        <f>+SUM(H100:H127)</f>
        <v>0</v>
      </c>
      <c r="I128" s="1198">
        <f>+SUM(I100:K127)</f>
        <v>0</v>
      </c>
      <c r="J128" s="1198"/>
      <c r="K128" s="1198"/>
      <c r="P128" s="10" t="s">
        <v>9</v>
      </c>
      <c r="Q128" s="63">
        <f>+SUM(Q100:Q127)</f>
        <v>0</v>
      </c>
      <c r="R128" s="63">
        <f>+SUM(R100:R127)</f>
        <v>0</v>
      </c>
      <c r="S128" s="63">
        <f>+SUM(S100:S127)</f>
        <v>0</v>
      </c>
    </row>
    <row r="129" spans="1:19" x14ac:dyDescent="0.25">
      <c r="H129" s="29"/>
    </row>
    <row r="131" spans="1:19" x14ac:dyDescent="0.25">
      <c r="A131" s="1206" t="s">
        <v>410</v>
      </c>
      <c r="B131" s="1206"/>
      <c r="C131" s="1206"/>
      <c r="E131" s="1193" t="s">
        <v>354</v>
      </c>
      <c r="F131" s="1193"/>
      <c r="G131" s="1193"/>
      <c r="H131" s="1193"/>
      <c r="I131" s="1193"/>
      <c r="J131" s="1193"/>
      <c r="K131" s="1193"/>
      <c r="L131" s="1193"/>
      <c r="M131" s="1193"/>
      <c r="N131" s="1193"/>
      <c r="O131" s="1193"/>
      <c r="P131" s="1193"/>
      <c r="Q131" s="1193"/>
      <c r="R131" s="1193"/>
      <c r="S131" s="1193"/>
    </row>
    <row r="132" spans="1:19" x14ac:dyDescent="0.25">
      <c r="A132" s="27"/>
      <c r="B132" s="27" t="s">
        <v>139</v>
      </c>
      <c r="C132" s="27" t="s">
        <v>9</v>
      </c>
    </row>
    <row r="133" spans="1:19" x14ac:dyDescent="0.25">
      <c r="A133" s="27" t="str">
        <f>+'Datos Prestador'!M275</f>
        <v>Papel</v>
      </c>
      <c r="B133" s="28">
        <f>+IF('Datos Prestador'!N275="",'Datos Prestador'!O275,'Datos Prestador'!N275)</f>
        <v>36.451251918247131</v>
      </c>
      <c r="C133" s="80">
        <f>+B133*Cálculos!G8/12</f>
        <v>0</v>
      </c>
      <c r="E133" s="75" t="s">
        <v>363</v>
      </c>
      <c r="F133" s="75" t="s">
        <v>110</v>
      </c>
      <c r="G133" s="75" t="s">
        <v>110</v>
      </c>
    </row>
    <row r="134" spans="1:19" x14ac:dyDescent="0.25">
      <c r="A134" s="27" t="str">
        <f>+'Datos Prestador'!M276</f>
        <v>Cartón</v>
      </c>
      <c r="B134" s="28">
        <f>+IF('Datos Prestador'!N276="",'Datos Prestador'!O276,'Datos Prestador'!N276)</f>
        <v>18.225625959123565</v>
      </c>
      <c r="C134" s="80">
        <f>+B134*Cálculos!G9/12</f>
        <v>0</v>
      </c>
      <c r="E134" s="4" t="s">
        <v>357</v>
      </c>
      <c r="F134" s="69" t="e">
        <f>+IF(AND(C104=TRUE,'Datos Prestador'!N152="",'Datos Prestador'!N153=""),HLOOKUP('C.Prestador'!C120,ReferenciasP!C166:E171,2,0)+HLOOKUP('C.Prestador'!C120,ReferenciasP!C166:E171,3,0),IF(AND('C.Prestador'!C105=TRUE,'Datos Prestador'!O152="",'Datos Prestador'!O153=""),HLOOKUP('C.Prestador'!C120,ReferenciasP!C166:E171,2,0)+HLOOKUP('C.Prestador'!C120,ReferenciasP!C166:E171,3,0),IF('C.Prestador'!C104=TRUE,'Datos Prestador'!N152+'Datos Prestador'!N153,ROUNDUP((C118*'Datos Prestador'!P159)/'Datos Prestador'!O152,0)+HLOOKUP(C120,ReferenciasP!C166:E171,3,0))))</f>
        <v>#DIV/0!</v>
      </c>
      <c r="G134" s="69" t="e">
        <f>+F134*$C$114</f>
        <v>#DIV/0!</v>
      </c>
    </row>
    <row r="135" spans="1:19" x14ac:dyDescent="0.25">
      <c r="A135" s="27" t="str">
        <f>+'Datos Prestador'!M277</f>
        <v>Vidrio</v>
      </c>
      <c r="B135" s="28">
        <f>+IF('Datos Prestador'!N277="",'Datos Prestador'!O277,'Datos Prestador'!N277)</f>
        <v>18.225625959123565</v>
      </c>
      <c r="C135" s="80">
        <f>+B135*Cálculos!G10/12</f>
        <v>0</v>
      </c>
      <c r="E135" s="4" t="s">
        <v>159</v>
      </c>
      <c r="F135" s="4">
        <f>+IF(AND('C.Prestador'!C104=TRUE,'Datos Prestador'!N154=""),'Datos Prestador'!P154,IF('C.Prestador'!C104=TRUE,'Datos Prestador'!N154,IF(AND('C.Prestador'!C105=TRUE,'Datos Prestador'!O154=""),'Datos Prestador'!P154*(ROUNDUP('C.Prestador'!F134/20,0)),'Datos Prestador'!O154*(ROUNDUP('C.Prestador'!F134/20,0)))))</f>
        <v>0</v>
      </c>
      <c r="G135" s="69">
        <f>+F135*$C$114</f>
        <v>0</v>
      </c>
    </row>
    <row r="136" spans="1:19" x14ac:dyDescent="0.25">
      <c r="A136" s="27" t="str">
        <f>+'Datos Prestador'!M278</f>
        <v>Plástico</v>
      </c>
      <c r="B136" s="28">
        <f>+IF('Datos Prestador'!N278="",'Datos Prestador'!O278,'Datos Prestador'!N278)</f>
        <v>36.451251918247131</v>
      </c>
      <c r="C136" s="80">
        <f>+B136*Cálculos!G11/12</f>
        <v>0</v>
      </c>
      <c r="E136" s="4" t="s">
        <v>345</v>
      </c>
      <c r="F136" s="4">
        <f>+IF('Datos Prestador'!O156="",'Datos Prestador'!P156,'Datos Prestador'!O156)</f>
        <v>1</v>
      </c>
      <c r="G136" s="69">
        <f>+F136*$C$114</f>
        <v>0</v>
      </c>
    </row>
    <row r="137" spans="1:19" x14ac:dyDescent="0.25">
      <c r="A137" s="27" t="str">
        <f>+'Datos Prestador'!M279</f>
        <v>Metal</v>
      </c>
      <c r="B137" s="28">
        <f>+IF('Datos Prestador'!N279="",'Datos Prestador'!O279,'Datos Prestador'!N279)</f>
        <v>54.6768778773707</v>
      </c>
      <c r="C137" s="80">
        <f>+B137*Cálculos!G12/12</f>
        <v>0</v>
      </c>
    </row>
    <row r="138" spans="1:19" ht="36" customHeight="1" x14ac:dyDescent="0.25">
      <c r="A138" s="27" t="str">
        <f>+'Datos Prestador'!M280</f>
        <v>Otros reciclables</v>
      </c>
      <c r="B138" s="28">
        <f>+IF('Datos Prestador'!N280="",'Datos Prestador'!O280,'Datos Prestador'!N280)</f>
        <v>9.1128129795617827</v>
      </c>
      <c r="C138" s="80">
        <f>+B138*Cálculos!G13/12</f>
        <v>0</v>
      </c>
      <c r="E138" t="s">
        <v>136</v>
      </c>
      <c r="G138" s="65" t="s">
        <v>355</v>
      </c>
      <c r="H138" s="1217" t="str">
        <f>+'Datos Prestador'!$N$168</f>
        <v>Supervisor</v>
      </c>
      <c r="I138" s="1191"/>
      <c r="J138" s="1218" t="str">
        <f>+'Datos Prestador'!$O$168</f>
        <v>Coordinador operativo del centro de acopio</v>
      </c>
      <c r="K138" s="1192"/>
      <c r="M138" t="s">
        <v>125</v>
      </c>
      <c r="N138" t="s">
        <v>424</v>
      </c>
      <c r="O138" t="s">
        <v>137</v>
      </c>
      <c r="P138" t="s">
        <v>125</v>
      </c>
      <c r="Q138" s="10" t="s">
        <v>424</v>
      </c>
      <c r="R138" s="10" t="s">
        <v>137</v>
      </c>
    </row>
    <row r="139" spans="1:19" x14ac:dyDescent="0.25">
      <c r="A139" s="27"/>
      <c r="B139" s="70" t="s">
        <v>9</v>
      </c>
      <c r="C139" s="81">
        <f>+SUM(C133:C138)</f>
        <v>0</v>
      </c>
      <c r="E139" t="s">
        <v>128</v>
      </c>
      <c r="G139" s="47">
        <f>+'Datos Prestador'!$M$169</f>
        <v>0</v>
      </c>
      <c r="H139" s="1196">
        <f>+'Datos Prestador'!$N$169</f>
        <v>0</v>
      </c>
      <c r="I139" s="1197"/>
      <c r="J139" s="1196">
        <f>+'Datos Prestador'!$O$169</f>
        <v>0</v>
      </c>
      <c r="K139" s="1197"/>
      <c r="M139" s="52"/>
    </row>
    <row r="140" spans="1:19" x14ac:dyDescent="0.25">
      <c r="E140" t="s">
        <v>129</v>
      </c>
      <c r="G140" s="47">
        <f>+'Datos Prestador'!$M$170</f>
        <v>0</v>
      </c>
      <c r="H140" s="1196">
        <f>+'Datos Prestador'!$N$170</f>
        <v>0</v>
      </c>
      <c r="I140" s="1197"/>
      <c r="J140" s="1196">
        <f>+'Datos Prestador'!$O$170</f>
        <v>0</v>
      </c>
      <c r="K140" s="1197"/>
      <c r="L140" s="52" t="str">
        <f>+G138</f>
        <v>Operario de separación, embalaje, báscula y minicargador</v>
      </c>
      <c r="M140" t="b">
        <v>0</v>
      </c>
      <c r="N140" t="b">
        <v>0</v>
      </c>
      <c r="O140" t="b">
        <v>1</v>
      </c>
      <c r="P140" s="2">
        <f>+IF(M140=TRUE,G147,0)</f>
        <v>0</v>
      </c>
      <c r="Q140" s="2">
        <f>+IF(N140=TRUE,G147,0)</f>
        <v>0</v>
      </c>
      <c r="R140" s="2">
        <f>+IF(O140=TRUE,G147,0)</f>
        <v>0</v>
      </c>
    </row>
    <row r="141" spans="1:19" x14ac:dyDescent="0.25">
      <c r="E141" t="s">
        <v>130</v>
      </c>
      <c r="G141" s="49">
        <f>+G$139*'Datos Prestador'!M171</f>
        <v>0</v>
      </c>
      <c r="H141" s="1194">
        <f>+H$139*'Datos Prestador'!N$171</f>
        <v>0</v>
      </c>
      <c r="I141" s="1195"/>
      <c r="J141" s="1194">
        <f>+J$139*'Datos Prestador'!O$171</f>
        <v>0</v>
      </c>
      <c r="K141" s="1195"/>
      <c r="L141" s="52" t="str">
        <f>+H138</f>
        <v>Supervisor</v>
      </c>
      <c r="M141" t="b">
        <v>0</v>
      </c>
      <c r="N141" t="b">
        <v>0</v>
      </c>
      <c r="O141" t="b">
        <v>1</v>
      </c>
      <c r="P141" s="2">
        <f>+IF(M141=TRUE,H147,0)</f>
        <v>0</v>
      </c>
      <c r="Q141" s="2">
        <f>+IF(N141=TRUE,H147,0)</f>
        <v>0</v>
      </c>
      <c r="R141" s="2">
        <f>+IF(O141=TRUE,H147,0)</f>
        <v>0</v>
      </c>
    </row>
    <row r="142" spans="1:19" x14ac:dyDescent="0.25">
      <c r="E142" t="s">
        <v>131</v>
      </c>
      <c r="G142" s="49">
        <f>+G$139*'Datos Prestador'!M172</f>
        <v>0</v>
      </c>
      <c r="H142" s="1194">
        <f>+H$139*'Datos Prestador'!N$171</f>
        <v>0</v>
      </c>
      <c r="I142" s="1195"/>
      <c r="J142" s="1194">
        <f>+J$139*'Datos Prestador'!O$171</f>
        <v>0</v>
      </c>
      <c r="K142" s="1195"/>
      <c r="L142" s="52" t="str">
        <f>+J138</f>
        <v>Coordinador operativo del centro de acopio</v>
      </c>
      <c r="M142" t="b">
        <v>0</v>
      </c>
      <c r="N142" t="b">
        <v>0</v>
      </c>
      <c r="O142" t="b">
        <v>1</v>
      </c>
      <c r="P142" s="2">
        <f>+IF(M142=TRUE,J147,0)</f>
        <v>0</v>
      </c>
      <c r="Q142" s="2">
        <f>+IF(N142=TRUE,J147,0)</f>
        <v>0</v>
      </c>
      <c r="R142" s="2">
        <f>+IF(O142=TRUE,J147,0)</f>
        <v>0</v>
      </c>
    </row>
    <row r="143" spans="1:19" x14ac:dyDescent="0.25">
      <c r="E143" t="s">
        <v>132</v>
      </c>
      <c r="G143" s="49">
        <f>+G$139*'Datos Prestador'!M173</f>
        <v>0</v>
      </c>
      <c r="H143" s="1194">
        <f>+H$139*'Datos Prestador'!N$171</f>
        <v>0</v>
      </c>
      <c r="I143" s="1195"/>
      <c r="J143" s="1194">
        <f>+J$139*'Datos Prestador'!O$171</f>
        <v>0</v>
      </c>
      <c r="K143" s="1195"/>
      <c r="M143" s="52"/>
      <c r="O143" t="s">
        <v>9</v>
      </c>
      <c r="P143" s="63">
        <f>+SUM(P140:P142)</f>
        <v>0</v>
      </c>
      <c r="Q143" s="63">
        <f>+SUM(Q140:Q142)</f>
        <v>0</v>
      </c>
      <c r="R143" s="63">
        <f>+SUM(R140:R142)</f>
        <v>0</v>
      </c>
    </row>
    <row r="144" spans="1:19" x14ac:dyDescent="0.25">
      <c r="E144" t="s">
        <v>133</v>
      </c>
      <c r="G144" s="49">
        <f>+G$139*'Datos Prestador'!M174</f>
        <v>0</v>
      </c>
      <c r="H144" s="1194">
        <f>+H$139*'Datos Prestador'!N$171</f>
        <v>0</v>
      </c>
      <c r="I144" s="1195"/>
      <c r="J144" s="1194">
        <f>+J$139*'Datos Prestador'!O$171</f>
        <v>0</v>
      </c>
      <c r="K144" s="1195"/>
    </row>
    <row r="145" spans="5:19" x14ac:dyDescent="0.25">
      <c r="E145" t="s">
        <v>135</v>
      </c>
      <c r="G145" s="47">
        <f>+'Datos Prestador'!M175</f>
        <v>0</v>
      </c>
      <c r="H145" s="1196">
        <f>+'Datos Prestador'!N175</f>
        <v>0</v>
      </c>
      <c r="I145" s="1197"/>
      <c r="J145" s="1196">
        <f>+'Datos Prestador'!O175</f>
        <v>0</v>
      </c>
      <c r="K145" s="1197"/>
    </row>
    <row r="146" spans="5:19" x14ac:dyDescent="0.25">
      <c r="E146" s="10" t="s">
        <v>9</v>
      </c>
      <c r="F146" s="10"/>
      <c r="G146" s="49">
        <f>+SUM(G139:G145)</f>
        <v>0</v>
      </c>
      <c r="H146" s="1194">
        <f>+SUM(H139:I145)</f>
        <v>0</v>
      </c>
      <c r="I146" s="1195"/>
      <c r="J146" s="1194">
        <f>+SUM(J139:K145)</f>
        <v>0</v>
      </c>
      <c r="K146" s="1195"/>
    </row>
    <row r="147" spans="5:19" x14ac:dyDescent="0.25">
      <c r="E147" s="10" t="s">
        <v>351</v>
      </c>
      <c r="G147" s="49">
        <f>+IFERROR(G146*G134,0)</f>
        <v>0</v>
      </c>
      <c r="H147" s="1215">
        <f>+H146*G135</f>
        <v>0</v>
      </c>
      <c r="I147" s="1215"/>
      <c r="J147" s="1216">
        <f>+J146*G136</f>
        <v>0</v>
      </c>
      <c r="K147" s="1216"/>
    </row>
    <row r="150" spans="5:19" x14ac:dyDescent="0.25">
      <c r="E150" s="1193" t="s">
        <v>290</v>
      </c>
      <c r="F150" s="1193"/>
      <c r="G150" s="1193"/>
      <c r="H150" s="1193"/>
      <c r="I150" s="1193"/>
      <c r="J150" s="1193"/>
      <c r="K150" s="1193"/>
      <c r="L150" s="1193"/>
      <c r="M150" s="1193"/>
      <c r="N150" s="1193"/>
      <c r="O150" s="1193"/>
      <c r="P150" s="1193"/>
      <c r="Q150" s="1193"/>
      <c r="R150" s="1193"/>
      <c r="S150" s="1193"/>
    </row>
    <row r="152" spans="5:19" x14ac:dyDescent="0.25">
      <c r="M152" t="s">
        <v>125</v>
      </c>
      <c r="N152" t="s">
        <v>424</v>
      </c>
      <c r="O152" t="s">
        <v>137</v>
      </c>
      <c r="P152" s="10" t="s">
        <v>125</v>
      </c>
      <c r="Q152" s="10" t="s">
        <v>424</v>
      </c>
      <c r="R152" s="10" t="s">
        <v>137</v>
      </c>
    </row>
    <row r="153" spans="5:19" x14ac:dyDescent="0.25">
      <c r="E153" t="s">
        <v>204</v>
      </c>
      <c r="F153" s="66">
        <f>+IF('Datos Prestador'!J240="",'Datos Prestador'!M240,'Datos Prestador'!J240)*SUM('C.Prestador'!F102:F103)</f>
        <v>0</v>
      </c>
      <c r="L153" t="s">
        <v>361</v>
      </c>
      <c r="M153" t="b">
        <v>0</v>
      </c>
      <c r="N153" t="b">
        <v>0</v>
      </c>
      <c r="O153" t="b">
        <v>1</v>
      </c>
      <c r="P153" s="68">
        <f>+IF(M153=TRUE,$F$153,0)</f>
        <v>0</v>
      </c>
      <c r="Q153" s="68">
        <f>+IF(N153=TRUE,$F$153,0)</f>
        <v>0</v>
      </c>
      <c r="R153" s="68">
        <f>+IF(O153=TRUE,$F$153,0)</f>
        <v>0</v>
      </c>
    </row>
    <row r="154" spans="5:19" x14ac:dyDescent="0.25">
      <c r="L154" t="s">
        <v>362</v>
      </c>
      <c r="M154" t="b">
        <v>0</v>
      </c>
      <c r="N154" t="b">
        <v>0</v>
      </c>
      <c r="O154" t="b">
        <v>1</v>
      </c>
      <c r="P154" s="68">
        <f>+IF(M154=TRUE,$F$155,0)</f>
        <v>0</v>
      </c>
      <c r="Q154" s="68">
        <f>+IF(N154=TRUE,$F$155,0)</f>
        <v>0</v>
      </c>
      <c r="R154" s="68" t="e">
        <f>+IF(O154=TRUE,$F$155,0)</f>
        <v>#DIV/0!</v>
      </c>
    </row>
    <row r="155" spans="5:19" x14ac:dyDescent="0.25">
      <c r="E155" t="s">
        <v>205</v>
      </c>
      <c r="F155" s="428" t="e">
        <f>+IF('Datos Prestador'!J241="",'Datos Prestador'!M241,'Datos Prestador'!J241)*C114</f>
        <v>#DIV/0!</v>
      </c>
      <c r="P155" s="32">
        <f>+SUM(P153:P154)</f>
        <v>0</v>
      </c>
      <c r="Q155" s="32">
        <f>+SUM(Q153:Q154)</f>
        <v>0</v>
      </c>
      <c r="R155" s="32" t="e">
        <f>+SUM(R153:R154)</f>
        <v>#DIV/0!</v>
      </c>
    </row>
    <row r="156" spans="5:19" x14ac:dyDescent="0.25">
      <c r="E156" t="s">
        <v>268</v>
      </c>
      <c r="F156" s="29" t="e">
        <f>F153+F155</f>
        <v>#DIV/0!</v>
      </c>
    </row>
    <row r="159" spans="5:19" x14ac:dyDescent="0.25">
      <c r="E159" s="1193" t="s">
        <v>292</v>
      </c>
      <c r="F159" s="1193"/>
      <c r="G159" s="1193"/>
      <c r="H159" s="1193"/>
      <c r="I159" s="1193"/>
      <c r="J159" s="1193"/>
      <c r="K159" s="1193"/>
      <c r="L159" s="1193"/>
      <c r="M159" s="1193"/>
      <c r="N159" s="1193"/>
      <c r="O159" s="1193"/>
      <c r="P159" s="1193"/>
      <c r="Q159" s="1193"/>
      <c r="R159" s="1193"/>
      <c r="S159" s="1193"/>
    </row>
    <row r="161" spans="2:19" x14ac:dyDescent="0.25">
      <c r="M161" t="s">
        <v>125</v>
      </c>
      <c r="N161" t="s">
        <v>424</v>
      </c>
      <c r="O161" t="s">
        <v>137</v>
      </c>
      <c r="P161" s="10" t="s">
        <v>472</v>
      </c>
      <c r="Q161" s="10" t="s">
        <v>424</v>
      </c>
      <c r="R161" s="10" t="s">
        <v>137</v>
      </c>
    </row>
    <row r="162" spans="2:19" x14ac:dyDescent="0.25">
      <c r="E162" t="s">
        <v>200</v>
      </c>
      <c r="F162" s="2">
        <f>+IF('Datos Prestador'!$H$228="",'Datos Prestador'!$J$228*'C.Prestador'!C110,'Datos Prestador'!$H$228*'C.Prestador'!C110)</f>
        <v>0</v>
      </c>
      <c r="L162" t="str">
        <f>+E162</f>
        <v>Costos de operación</v>
      </c>
      <c r="M162" t="b">
        <v>0</v>
      </c>
      <c r="N162" t="b">
        <v>0</v>
      </c>
      <c r="O162" t="b">
        <v>1</v>
      </c>
      <c r="P162" s="63">
        <f>+IF(M162=TRUE,$F162,0)</f>
        <v>0</v>
      </c>
      <c r="Q162" s="68">
        <f t="shared" ref="Q162:R164" si="5">+IF(N162=TRUE,$F162,0)</f>
        <v>0</v>
      </c>
      <c r="R162" s="68">
        <f t="shared" si="5"/>
        <v>0</v>
      </c>
    </row>
    <row r="163" spans="2:19" x14ac:dyDescent="0.25">
      <c r="E163" t="s">
        <v>201</v>
      </c>
      <c r="F163" s="29" t="e">
        <f>+IF('Datos Prestador'!$H$229="",'Datos Prestador'!$J$229,'Datos Prestador'!$H$229)*C114</f>
        <v>#DIV/0!</v>
      </c>
      <c r="L163" t="str">
        <f>+E163</f>
        <v>Mantenimiento de maquinaria y equipo</v>
      </c>
      <c r="M163" t="b">
        <v>0</v>
      </c>
      <c r="N163" t="b">
        <v>0</v>
      </c>
      <c r="O163" t="b">
        <v>1</v>
      </c>
      <c r="P163" s="63">
        <f>+IF(M163=TRUE,$F163,0)</f>
        <v>0</v>
      </c>
      <c r="Q163" s="68">
        <f t="shared" si="5"/>
        <v>0</v>
      </c>
      <c r="R163" s="68" t="e">
        <f t="shared" si="5"/>
        <v>#DIV/0!</v>
      </c>
    </row>
    <row r="164" spans="2:19" x14ac:dyDescent="0.25">
      <c r="E164" t="s">
        <v>202</v>
      </c>
      <c r="F164" s="29" t="e">
        <f>+IF('Datos Prestador'!$H$230="",'Datos Prestador'!$J$230,'Datos Prestador'!$H$230)*C114</f>
        <v>#DIV/0!</v>
      </c>
      <c r="L164" t="str">
        <f>+E164</f>
        <v>Mantenimiento de instalaciones</v>
      </c>
      <c r="M164" t="b">
        <v>0</v>
      </c>
      <c r="N164" t="b">
        <v>0</v>
      </c>
      <c r="O164" t="b">
        <v>1</v>
      </c>
      <c r="P164" s="63">
        <f>+IF(M164=TRUE,$F164,0)</f>
        <v>0</v>
      </c>
      <c r="Q164" s="68">
        <f t="shared" si="5"/>
        <v>0</v>
      </c>
      <c r="R164" s="68" t="e">
        <f t="shared" si="5"/>
        <v>#DIV/0!</v>
      </c>
    </row>
    <row r="165" spans="2:19" x14ac:dyDescent="0.25">
      <c r="O165" s="10" t="s">
        <v>9</v>
      </c>
      <c r="P165" s="32">
        <f>+SUM(P162:P164)</f>
        <v>0</v>
      </c>
      <c r="Q165" s="32">
        <f>+SUM(Q162:Q164)</f>
        <v>0</v>
      </c>
      <c r="R165" s="32" t="e">
        <f>+SUM(R162:R164)</f>
        <v>#DIV/0!</v>
      </c>
    </row>
    <row r="167" spans="2:19" x14ac:dyDescent="0.25">
      <c r="E167" s="1193" t="s">
        <v>296</v>
      </c>
      <c r="F167" s="1193"/>
      <c r="G167" s="1193"/>
      <c r="H167" s="1193"/>
      <c r="I167" s="1193"/>
      <c r="J167" s="1193"/>
      <c r="K167" s="1193"/>
      <c r="L167" s="1193"/>
      <c r="M167" s="1193"/>
      <c r="N167" s="1193"/>
      <c r="O167" s="1193"/>
      <c r="P167" s="1193"/>
      <c r="Q167" s="1193"/>
      <c r="R167" s="1193"/>
      <c r="S167" s="1193"/>
    </row>
    <row r="170" spans="2:19" ht="26.25" x14ac:dyDescent="0.25">
      <c r="M170" s="10" t="s">
        <v>86</v>
      </c>
      <c r="N170" t="s">
        <v>426</v>
      </c>
      <c r="O170" s="125" t="s">
        <v>137</v>
      </c>
      <c r="P170" t="s">
        <v>125</v>
      </c>
    </row>
    <row r="171" spans="2:19" x14ac:dyDescent="0.25">
      <c r="E171" t="s">
        <v>291</v>
      </c>
      <c r="F171" s="29">
        <f>+I128</f>
        <v>0</v>
      </c>
      <c r="M171" t="s">
        <v>291</v>
      </c>
      <c r="N171" s="29">
        <f>+R128</f>
        <v>0</v>
      </c>
      <c r="O171" s="29">
        <f>+S128</f>
        <v>0</v>
      </c>
      <c r="P171" s="29">
        <f t="shared" ref="P171:P176" si="6">+IF((F171-N171-O171)&lt;0,0,F171-N171-O171)</f>
        <v>0</v>
      </c>
    </row>
    <row r="172" spans="2:19" x14ac:dyDescent="0.25">
      <c r="E172" t="s">
        <v>290</v>
      </c>
      <c r="F172" s="29" t="e">
        <f>+F156</f>
        <v>#DIV/0!</v>
      </c>
      <c r="M172" t="s">
        <v>290</v>
      </c>
      <c r="N172" s="29">
        <f>+Q155</f>
        <v>0</v>
      </c>
      <c r="O172" s="29" t="e">
        <f>+R155</f>
        <v>#DIV/0!</v>
      </c>
      <c r="P172" s="29" t="e">
        <f t="shared" si="6"/>
        <v>#DIV/0!</v>
      </c>
    </row>
    <row r="173" spans="2:19" x14ac:dyDescent="0.25">
      <c r="E173" t="s">
        <v>292</v>
      </c>
      <c r="F173" s="29" t="e">
        <f>+F162+F163+F164</f>
        <v>#DIV/0!</v>
      </c>
      <c r="M173" t="s">
        <v>292</v>
      </c>
      <c r="N173" s="29">
        <f>+Q155</f>
        <v>0</v>
      </c>
      <c r="O173" s="29" t="e">
        <f>+R165</f>
        <v>#DIV/0!</v>
      </c>
      <c r="P173" s="29" t="e">
        <f t="shared" si="6"/>
        <v>#DIV/0!</v>
      </c>
    </row>
    <row r="174" spans="2:19" x14ac:dyDescent="0.25">
      <c r="E174" t="s">
        <v>293</v>
      </c>
      <c r="F174" s="29">
        <f>+G147+H147+J147</f>
        <v>0</v>
      </c>
      <c r="M174" t="s">
        <v>293</v>
      </c>
      <c r="N174" s="29">
        <f>+Q143</f>
        <v>0</v>
      </c>
      <c r="O174" s="29">
        <f>+R143</f>
        <v>0</v>
      </c>
      <c r="P174" s="29">
        <f t="shared" si="6"/>
        <v>0</v>
      </c>
    </row>
    <row r="175" spans="2:19" x14ac:dyDescent="0.25">
      <c r="B175" s="29"/>
      <c r="E175" t="s">
        <v>208</v>
      </c>
      <c r="F175" s="29" t="e">
        <f>+IF('Datos Prestador'!J253="",'Datos Prestador'!L253,'Datos Prestador'!J253)*SUM(F171:F174)</f>
        <v>#DIV/0!</v>
      </c>
      <c r="M175" t="s">
        <v>208</v>
      </c>
      <c r="N175" s="29">
        <f>+IF(C38=TRUE,$F175,0)</f>
        <v>0</v>
      </c>
      <c r="O175" s="29" t="e">
        <f>+IF(C39=TRUE,$F175,0)</f>
        <v>#DIV/0!</v>
      </c>
      <c r="P175" s="29" t="e">
        <f t="shared" si="6"/>
        <v>#DIV/0!</v>
      </c>
    </row>
    <row r="176" spans="2:19" x14ac:dyDescent="0.25">
      <c r="B176" s="29"/>
      <c r="E176" t="s">
        <v>294</v>
      </c>
      <c r="F176" s="29" t="e">
        <f>+SUM(F172:F175)*$C$34</f>
        <v>#DIV/0!</v>
      </c>
      <c r="M176" t="s">
        <v>294</v>
      </c>
      <c r="N176" s="29">
        <f>+SUM(N172:N175)*$C$34</f>
        <v>0</v>
      </c>
      <c r="O176" s="29" t="e">
        <f>+SUM(O172:O175)*$C$34</f>
        <v>#DIV/0!</v>
      </c>
      <c r="P176" s="29" t="e">
        <f t="shared" si="6"/>
        <v>#DIV/0!</v>
      </c>
    </row>
    <row r="177" spans="2:19" x14ac:dyDescent="0.25">
      <c r="E177" t="s">
        <v>381</v>
      </c>
      <c r="F177" s="29">
        <f>+(IF('Datos Prestador'!O144="",'Datos Prestador'!P144,'Datos Prestador'!O144)*'Datos Generales'!L42)*('Datos Prestador'!G157+'Datos Prestador'!G158)</f>
        <v>0</v>
      </c>
      <c r="M177" t="s">
        <v>381</v>
      </c>
      <c r="N177" s="29"/>
      <c r="O177" s="29"/>
      <c r="P177" s="29">
        <f>+F177</f>
        <v>0</v>
      </c>
    </row>
    <row r="178" spans="2:19" x14ac:dyDescent="0.25">
      <c r="E178" s="10" t="s">
        <v>295</v>
      </c>
      <c r="F178" s="29">
        <f>+IF(C113=0,0,SUM(F171:F176))</f>
        <v>0</v>
      </c>
      <c r="M178" s="10" t="s">
        <v>9</v>
      </c>
      <c r="N178" s="32">
        <f>+SUM(N171:N177)</f>
        <v>0</v>
      </c>
      <c r="O178" s="32" t="e">
        <f>+SUM(O171:O177)</f>
        <v>#DIV/0!</v>
      </c>
      <c r="P178" s="32" t="e">
        <f>+SUM(P171:P177)</f>
        <v>#DIV/0!</v>
      </c>
    </row>
    <row r="179" spans="2:19" x14ac:dyDescent="0.25">
      <c r="E179" s="82" t="s">
        <v>409</v>
      </c>
      <c r="F179" s="83">
        <f>+F55</f>
        <v>0</v>
      </c>
      <c r="M179" t="s">
        <v>409</v>
      </c>
      <c r="P179" s="29">
        <f>+F179</f>
        <v>0</v>
      </c>
    </row>
    <row r="181" spans="2:19" x14ac:dyDescent="0.25">
      <c r="F181" s="2"/>
    </row>
    <row r="183" spans="2:19" x14ac:dyDescent="0.25">
      <c r="F183" s="29"/>
    </row>
    <row r="185" spans="2:19" ht="23.25" x14ac:dyDescent="0.25">
      <c r="B185" s="1212" t="s">
        <v>365</v>
      </c>
      <c r="C185" s="1213"/>
      <c r="D185" s="1213"/>
      <c r="E185" s="1213"/>
      <c r="F185" s="1213"/>
      <c r="G185" s="1213"/>
      <c r="H185" s="1213"/>
      <c r="I185" s="1213"/>
      <c r="J185" s="1213"/>
      <c r="K185" s="1213"/>
      <c r="L185" s="1213"/>
      <c r="M185" s="1213"/>
      <c r="N185" s="1213"/>
      <c r="O185" s="1213"/>
      <c r="P185" s="1213"/>
      <c r="Q185" s="1213"/>
      <c r="R185" s="1213"/>
      <c r="S185" s="1213"/>
    </row>
    <row r="187" spans="2:19" ht="18.75" x14ac:dyDescent="0.25">
      <c r="B187" s="804" t="s">
        <v>367</v>
      </c>
      <c r="C187" s="804"/>
      <c r="D187" s="804"/>
      <c r="E187" s="804"/>
      <c r="F187" s="804"/>
      <c r="G187" s="804"/>
      <c r="H187" s="804"/>
      <c r="I187" s="804"/>
      <c r="J187" s="804"/>
      <c r="K187" s="804"/>
      <c r="L187" s="804"/>
      <c r="M187" s="804"/>
    </row>
    <row r="189" spans="2:19" x14ac:dyDescent="0.25">
      <c r="B189" s="1214" t="s">
        <v>674</v>
      </c>
      <c r="C189" s="1214"/>
      <c r="E189" s="1214" t="s">
        <v>676</v>
      </c>
      <c r="F189" s="1214"/>
    </row>
    <row r="190" spans="2:19" x14ac:dyDescent="0.25">
      <c r="B190" s="131" t="s">
        <v>73</v>
      </c>
      <c r="C190" s="145" t="s">
        <v>406</v>
      </c>
      <c r="E190" s="131" t="s">
        <v>73</v>
      </c>
      <c r="F190" s="225" t="s">
        <v>406</v>
      </c>
    </row>
    <row r="191" spans="2:19" x14ac:dyDescent="0.25">
      <c r="B191" s="72" t="s">
        <v>3</v>
      </c>
      <c r="C191" s="73">
        <f>+IF('Datos Prestador'!F275="",'Datos Prestador'!G275,'Datos Prestador'!F275)*Cálculos!G8/12</f>
        <v>0</v>
      </c>
      <c r="E191" s="72" t="s">
        <v>3</v>
      </c>
      <c r="F191" s="73">
        <f>+IF('Datos Prestador'!N275="",'Datos Prestador'!O275,'Datos Prestador'!N275)*Cálculos!G8/12</f>
        <v>0</v>
      </c>
    </row>
    <row r="192" spans="2:19" x14ac:dyDescent="0.25">
      <c r="B192" s="72" t="s">
        <v>4</v>
      </c>
      <c r="C192" s="73">
        <f>+IF('Datos Prestador'!F276="",'Datos Prestador'!G276,'Datos Prestador'!F276)*Cálculos!G9/12</f>
        <v>0</v>
      </c>
      <c r="E192" s="72" t="s">
        <v>4</v>
      </c>
      <c r="F192" s="73">
        <f>+IF('Datos Prestador'!N276="",'Datos Prestador'!O276,'Datos Prestador'!N276)*Cálculos!G9/12</f>
        <v>0</v>
      </c>
    </row>
    <row r="193" spans="2:13" x14ac:dyDescent="0.25">
      <c r="B193" s="72" t="s">
        <v>6</v>
      </c>
      <c r="C193" s="73">
        <f>+IF('Datos Prestador'!F277="",'Datos Prestador'!G277,'Datos Prestador'!F277)*Cálculos!G10/12</f>
        <v>0</v>
      </c>
      <c r="E193" s="72" t="s">
        <v>6</v>
      </c>
      <c r="F193" s="73">
        <f>+IF('Datos Prestador'!N277="",'Datos Prestador'!O277,'Datos Prestador'!N277)*Cálculos!G10/12</f>
        <v>0</v>
      </c>
    </row>
    <row r="194" spans="2:13" x14ac:dyDescent="0.25">
      <c r="B194" s="72" t="s">
        <v>5</v>
      </c>
      <c r="C194" s="73">
        <f>+IF('Datos Prestador'!F278="",'Datos Prestador'!G278,'Datos Prestador'!F278)*Cálculos!G11/12</f>
        <v>0</v>
      </c>
      <c r="E194" s="72" t="s">
        <v>5</v>
      </c>
      <c r="F194" s="73">
        <f>+IF('Datos Prestador'!N278="",'Datos Prestador'!O278,'Datos Prestador'!N278)*Cálculos!G11/12</f>
        <v>0</v>
      </c>
    </row>
    <row r="195" spans="2:13" x14ac:dyDescent="0.25">
      <c r="B195" s="72" t="s">
        <v>7</v>
      </c>
      <c r="C195" s="73">
        <f>+IF('Datos Prestador'!F279="",'Datos Prestador'!G279,'Datos Prestador'!F279)*Cálculos!G12/12</f>
        <v>0</v>
      </c>
      <c r="E195" s="72" t="s">
        <v>7</v>
      </c>
      <c r="F195" s="73">
        <f>+IF('Datos Prestador'!N279="",'Datos Prestador'!O279,'Datos Prestador'!N279)*Cálculos!G12/12</f>
        <v>0</v>
      </c>
    </row>
    <row r="196" spans="2:13" x14ac:dyDescent="0.25">
      <c r="B196" s="72" t="s">
        <v>72</v>
      </c>
      <c r="C196" s="73">
        <f>+IF('Datos Prestador'!F280="",'Datos Prestador'!G280,'Datos Prestador'!F280)*Cálculos!G13/12</f>
        <v>0</v>
      </c>
      <c r="E196" s="72" t="s">
        <v>72</v>
      </c>
      <c r="F196" s="73">
        <f>+IF('Datos Prestador'!N280="",'Datos Prestador'!O280,'Datos Prestador'!N280)*Cálculos!G13/12</f>
        <v>0</v>
      </c>
    </row>
    <row r="197" spans="2:13" x14ac:dyDescent="0.25">
      <c r="B197" s="72" t="s">
        <v>9</v>
      </c>
      <c r="C197" s="73">
        <f>+SUM(C191:C196)</f>
        <v>0</v>
      </c>
      <c r="E197" s="72" t="s">
        <v>9</v>
      </c>
      <c r="F197" s="73">
        <f>+SUM(F191:F196)</f>
        <v>0</v>
      </c>
    </row>
    <row r="198" spans="2:13" x14ac:dyDescent="0.25">
      <c r="C198" s="29"/>
    </row>
    <row r="200" spans="2:13" ht="18.75" x14ac:dyDescent="0.25">
      <c r="B200" s="804" t="s">
        <v>377</v>
      </c>
      <c r="C200" s="804"/>
      <c r="D200" s="804"/>
      <c r="E200" s="804"/>
      <c r="F200" s="804"/>
      <c r="G200" s="804"/>
      <c r="H200" s="804"/>
      <c r="I200" s="804"/>
      <c r="J200" s="804"/>
      <c r="K200" s="804"/>
      <c r="L200" s="804"/>
      <c r="M200" s="804"/>
    </row>
    <row r="202" spans="2:13" x14ac:dyDescent="0.25">
      <c r="B202" t="s">
        <v>407</v>
      </c>
      <c r="C202" t="s">
        <v>408</v>
      </c>
    </row>
    <row r="203" spans="2:13" x14ac:dyDescent="0.25">
      <c r="B203" t="s">
        <v>81</v>
      </c>
      <c r="C203" s="29">
        <f>+'Datos Prestador'!$G$286*Cálculos!G15</f>
        <v>0</v>
      </c>
    </row>
    <row r="204" spans="2:13" x14ac:dyDescent="0.25">
      <c r="B204" t="s">
        <v>121</v>
      </c>
      <c r="C204" s="29">
        <f>+'Datos Prestador'!$N$286*Cálculos!G15</f>
        <v>0</v>
      </c>
    </row>
    <row r="209" spans="5:18" x14ac:dyDescent="0.25">
      <c r="F209" s="2"/>
    </row>
    <row r="210" spans="5:18" x14ac:dyDescent="0.25">
      <c r="F210" s="2"/>
    </row>
    <row r="214" spans="5:18" x14ac:dyDescent="0.25">
      <c r="E214" s="1193" t="s">
        <v>400</v>
      </c>
      <c r="F214" s="1193"/>
      <c r="G214" s="1193"/>
      <c r="H214" s="1193"/>
      <c r="I214" s="1193"/>
      <c r="J214" s="1193"/>
      <c r="K214" s="1193"/>
      <c r="L214" s="1193"/>
      <c r="M214" s="1193"/>
      <c r="N214" s="1193"/>
      <c r="O214" s="1193"/>
      <c r="P214" s="1193"/>
      <c r="Q214" s="1193"/>
      <c r="R214" s="1193"/>
    </row>
    <row r="217" spans="5:18" x14ac:dyDescent="0.25">
      <c r="E217" t="s">
        <v>411</v>
      </c>
      <c r="F217" s="29">
        <f>+C197</f>
        <v>0</v>
      </c>
    </row>
    <row r="218" spans="5:18" x14ac:dyDescent="0.25">
      <c r="E218" t="s">
        <v>412</v>
      </c>
      <c r="F218" s="29">
        <f>+C203+C204</f>
        <v>0</v>
      </c>
    </row>
    <row r="219" spans="5:18" x14ac:dyDescent="0.25">
      <c r="E219" t="s">
        <v>413</v>
      </c>
      <c r="F219" s="29">
        <f>+F209</f>
        <v>0</v>
      </c>
    </row>
    <row r="220" spans="5:18" x14ac:dyDescent="0.25">
      <c r="E220" t="s">
        <v>414</v>
      </c>
      <c r="F220" s="29">
        <f>+F210*(F16*F24+F17*F24+H16*H24)</f>
        <v>0</v>
      </c>
    </row>
    <row r="221" spans="5:18" x14ac:dyDescent="0.25">
      <c r="E221" t="s">
        <v>415</v>
      </c>
      <c r="F221" s="29" t="e">
        <f>+F210*(G134+G135+G136)</f>
        <v>#DIV/0!</v>
      </c>
    </row>
    <row r="222" spans="5:18" x14ac:dyDescent="0.25">
      <c r="E222" t="s">
        <v>9</v>
      </c>
      <c r="F222" s="29" t="e">
        <f>+SUM(F217:F221)</f>
        <v>#DIV/0!</v>
      </c>
    </row>
  </sheetData>
  <mergeCells count="78">
    <mergeCell ref="B3:S3"/>
    <mergeCell ref="B5:C5"/>
    <mergeCell ref="E5:I5"/>
    <mergeCell ref="K5:P5"/>
    <mergeCell ref="E35:K35"/>
    <mergeCell ref="M35:R35"/>
    <mergeCell ref="I99:K99"/>
    <mergeCell ref="E36:S36"/>
    <mergeCell ref="I40:J40"/>
    <mergeCell ref="I41:J41"/>
    <mergeCell ref="I42:J42"/>
    <mergeCell ref="I43:J43"/>
    <mergeCell ref="E47:S47"/>
    <mergeCell ref="E82:S82"/>
    <mergeCell ref="E57:S57"/>
    <mergeCell ref="E71:S71"/>
    <mergeCell ref="B94:S94"/>
    <mergeCell ref="E97:S97"/>
    <mergeCell ref="I111:K111"/>
    <mergeCell ref="I100:K100"/>
    <mergeCell ref="I101:K101"/>
    <mergeCell ref="I102:K102"/>
    <mergeCell ref="I103:K103"/>
    <mergeCell ref="I104:K104"/>
    <mergeCell ref="I105:K105"/>
    <mergeCell ref="I106:K106"/>
    <mergeCell ref="I107:K107"/>
    <mergeCell ref="I108:K108"/>
    <mergeCell ref="I109:K109"/>
    <mergeCell ref="I110:K110"/>
    <mergeCell ref="I123:K123"/>
    <mergeCell ref="I112:K112"/>
    <mergeCell ref="I113:K113"/>
    <mergeCell ref="I114:K114"/>
    <mergeCell ref="I115:K115"/>
    <mergeCell ref="I116:K116"/>
    <mergeCell ref="I117:K117"/>
    <mergeCell ref="I118:K118"/>
    <mergeCell ref="I119:K119"/>
    <mergeCell ref="I120:K120"/>
    <mergeCell ref="I121:K121"/>
    <mergeCell ref="I122:K122"/>
    <mergeCell ref="I124:K124"/>
    <mergeCell ref="I125:K125"/>
    <mergeCell ref="I126:K126"/>
    <mergeCell ref="I128:K128"/>
    <mergeCell ref="A131:C131"/>
    <mergeCell ref="E131:S131"/>
    <mergeCell ref="I127:K127"/>
    <mergeCell ref="H138:I138"/>
    <mergeCell ref="J138:K138"/>
    <mergeCell ref="H139:I139"/>
    <mergeCell ref="J139:K139"/>
    <mergeCell ref="H140:I140"/>
    <mergeCell ref="J140:K140"/>
    <mergeCell ref="H141:I141"/>
    <mergeCell ref="J141:K141"/>
    <mergeCell ref="H142:I142"/>
    <mergeCell ref="J142:K142"/>
    <mergeCell ref="H143:I143"/>
    <mergeCell ref="J143:K143"/>
    <mergeCell ref="H144:I144"/>
    <mergeCell ref="J144:K144"/>
    <mergeCell ref="H145:I145"/>
    <mergeCell ref="J145:K145"/>
    <mergeCell ref="H146:I146"/>
    <mergeCell ref="J146:K146"/>
    <mergeCell ref="B187:M187"/>
    <mergeCell ref="B200:M200"/>
    <mergeCell ref="E214:R214"/>
    <mergeCell ref="H147:I147"/>
    <mergeCell ref="J147:K147"/>
    <mergeCell ref="E150:S150"/>
    <mergeCell ref="E159:S159"/>
    <mergeCell ref="E167:S167"/>
    <mergeCell ref="B185:S185"/>
    <mergeCell ref="B189:C189"/>
    <mergeCell ref="E189:F189"/>
  </mergeCells>
  <conditionalFormatting sqref="F35:F36">
    <cfRule type="expression" dxfId="50" priority="1">
      <formula>$C$11&lt;4</formula>
    </cfRule>
    <cfRule type="expression" dxfId="49" priority="3">
      <formula>$C$11&lt;4</formula>
    </cfRule>
    <cfRule type="expression" dxfId="48" priority="4">
      <formula>$C$11&lt;4</formula>
    </cfRule>
  </conditionalFormatting>
  <conditionalFormatting sqref="F35:F36 L34:L36">
    <cfRule type="expression" dxfId="47" priority="2">
      <formula>$C$11&lt;4</formula>
    </cfRule>
  </conditionalFormatting>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tabColor theme="5" tint="0.39997558519241921"/>
  </sheetPr>
  <dimension ref="A3:S222"/>
  <sheetViews>
    <sheetView showGridLines="0" topLeftCell="B52" zoomScaleNormal="100" workbookViewId="0">
      <selection activeCell="E75" sqref="E75"/>
    </sheetView>
  </sheetViews>
  <sheetFormatPr baseColWidth="10" defaultColWidth="11.5703125" defaultRowHeight="15" x14ac:dyDescent="0.25"/>
  <cols>
    <col min="1" max="1" width="8.85546875" customWidth="1"/>
    <col min="2" max="2" width="32.42578125" customWidth="1"/>
    <col min="3" max="3" width="27.5703125" customWidth="1"/>
    <col min="4" max="4" width="3.5703125" customWidth="1"/>
    <col min="5" max="5" width="34.140625" customWidth="1"/>
    <col min="6" max="6" width="36.140625" customWidth="1"/>
    <col min="7" max="7" width="27.28515625" bestFit="1" customWidth="1"/>
    <col min="8" max="8" width="27.42578125" customWidth="1"/>
    <col min="9" max="9" width="17.28515625" customWidth="1"/>
    <col min="10" max="10" width="2.28515625" customWidth="1"/>
    <col min="11" max="11" width="24.85546875" customWidth="1"/>
    <col min="12" max="15" width="22.5703125" customWidth="1"/>
    <col min="16" max="16" width="22.85546875" customWidth="1"/>
    <col min="17" max="17" width="23.7109375" customWidth="1"/>
    <col min="18" max="19" width="38.140625" bestFit="1" customWidth="1"/>
    <col min="21" max="21" width="13.140625" bestFit="1" customWidth="1"/>
    <col min="22" max="23" width="15.5703125" bestFit="1" customWidth="1"/>
  </cols>
  <sheetData>
    <row r="3" spans="2:19" ht="45" customHeight="1" x14ac:dyDescent="0.25">
      <c r="B3" s="1200" t="s">
        <v>142</v>
      </c>
      <c r="C3" s="1201"/>
      <c r="D3" s="1201"/>
      <c r="E3" s="1201"/>
      <c r="F3" s="1201"/>
      <c r="G3" s="1201"/>
      <c r="H3" s="1201"/>
      <c r="I3" s="1201"/>
      <c r="J3" s="1201"/>
      <c r="K3" s="1201"/>
      <c r="L3" s="1201"/>
      <c r="M3" s="1201"/>
      <c r="N3" s="1201"/>
      <c r="O3" s="1201"/>
      <c r="P3" s="1201"/>
      <c r="Q3" s="1201"/>
      <c r="R3" s="1201"/>
      <c r="S3" s="1201"/>
    </row>
    <row r="5" spans="2:19" ht="21" x14ac:dyDescent="0.35">
      <c r="B5" s="1211" t="s">
        <v>287</v>
      </c>
      <c r="C5" s="1211"/>
      <c r="D5" s="3"/>
      <c r="E5" s="1203" t="s">
        <v>253</v>
      </c>
      <c r="F5" s="1203"/>
      <c r="G5" s="1203"/>
      <c r="H5" s="1203"/>
      <c r="I5" s="1203"/>
      <c r="J5" s="45"/>
    </row>
    <row r="6" spans="2:19" x14ac:dyDescent="0.25">
      <c r="B6" s="27" t="s">
        <v>85</v>
      </c>
      <c r="C6" s="27">
        <v>1</v>
      </c>
      <c r="D6" s="3"/>
      <c r="E6" s="27" t="s">
        <v>257</v>
      </c>
      <c r="F6" s="27" t="str">
        <f>+'Datos Prestador'!G19</f>
        <v>Combinación de equipo de tracción manual con camión</v>
      </c>
      <c r="J6" s="3"/>
    </row>
    <row r="7" spans="2:19" x14ac:dyDescent="0.25">
      <c r="B7" s="27" t="s">
        <v>212</v>
      </c>
      <c r="C7" s="27">
        <v>2</v>
      </c>
      <c r="D7" s="3"/>
      <c r="E7" t="s">
        <v>83</v>
      </c>
      <c r="F7" t="str">
        <f>+IF('Datos Prestador'!G19="Combinación de equipo de tracción manual con camión",'Datos Prestador'!G24,'Datos Prestador'!G19)</f>
        <v>Vehículo motorizado mediano</v>
      </c>
      <c r="H7" t="str">
        <f>+IF('Datos Prestador'!G19="Combinación de Equipo de tracción manual con camión",'Datos Prestador'!O24,"")</f>
        <v>Equipo de tracción manual</v>
      </c>
      <c r="J7" s="3"/>
    </row>
    <row r="8" spans="2:19" x14ac:dyDescent="0.25">
      <c r="B8" s="27" t="s">
        <v>433</v>
      </c>
      <c r="C8" s="27">
        <v>3</v>
      </c>
      <c r="D8" s="3"/>
      <c r="E8" s="10" t="s">
        <v>254</v>
      </c>
      <c r="J8" s="3"/>
    </row>
    <row r="9" spans="2:19" x14ac:dyDescent="0.25">
      <c r="B9" s="27" t="s">
        <v>456</v>
      </c>
      <c r="C9" s="27">
        <v>4</v>
      </c>
      <c r="D9" s="3"/>
      <c r="E9" t="str">
        <f>+CONCATENATE("Capacidad efectiva del vehículo",(IF('Datos Prestador'!G26="Peso (Toneladas)"," TON"," M3")))</f>
        <v>Capacidad efectiva del vehículo TON</v>
      </c>
      <c r="F9" s="28">
        <f>'Datos Prestador'!H27</f>
        <v>3.5</v>
      </c>
      <c r="H9" s="31">
        <f>IF(C11&lt;4,0,'Datos Prestador'!P27)</f>
        <v>0.25</v>
      </c>
      <c r="J9" s="3"/>
    </row>
    <row r="10" spans="2:19" x14ac:dyDescent="0.25">
      <c r="B10" s="27"/>
      <c r="C10" s="27"/>
      <c r="D10" s="3"/>
      <c r="E10" t="s">
        <v>240</v>
      </c>
      <c r="F10" s="29">
        <f>+SUM(F11:F14)</f>
        <v>1.1428571428571426</v>
      </c>
      <c r="H10" s="29">
        <f>+SUM(H11:H14)</f>
        <v>2.333333333333333</v>
      </c>
      <c r="J10" s="3"/>
    </row>
    <row r="11" spans="2:19" x14ac:dyDescent="0.25">
      <c r="B11" s="27" t="s">
        <v>102</v>
      </c>
      <c r="C11" s="27">
        <f>+IF('C.Prestador'!C11&gt;0,'C.Prestador'!C11,IF('Datos Prestador'!G53&gt;0,1,IF('Datos Prestador'!G54&gt;0,2,IF('Datos Prestador'!G55&gt;0,3,))))</f>
        <v>4</v>
      </c>
      <c r="D11" s="3"/>
      <c r="E11" t="s">
        <v>242</v>
      </c>
      <c r="F11" s="28">
        <f>'Datos Prestador'!H28</f>
        <v>0.476190476190476</v>
      </c>
      <c r="H11" s="31">
        <v>0</v>
      </c>
      <c r="J11" s="3"/>
    </row>
    <row r="12" spans="2:19" x14ac:dyDescent="0.25">
      <c r="D12" s="3"/>
      <c r="E12" t="s">
        <v>241</v>
      </c>
      <c r="F12" s="28">
        <f>'Datos Prestador'!H29</f>
        <v>0</v>
      </c>
      <c r="H12" s="31">
        <f>'Datos Prestador'!P28</f>
        <v>2</v>
      </c>
      <c r="J12" s="3"/>
    </row>
    <row r="13" spans="2:19" x14ac:dyDescent="0.25">
      <c r="D13" s="3"/>
      <c r="E13" t="s">
        <v>243</v>
      </c>
      <c r="F13" s="28">
        <f>'Datos Prestador'!H30</f>
        <v>0.33333333333333331</v>
      </c>
      <c r="H13" s="31">
        <f>'Datos Prestador'!P29</f>
        <v>0.16666666666666666</v>
      </c>
      <c r="J13" s="3"/>
    </row>
    <row r="14" spans="2:19" x14ac:dyDescent="0.25">
      <c r="D14" s="3"/>
      <c r="E14" t="s">
        <v>244</v>
      </c>
      <c r="F14" s="28">
        <f>'Datos Prestador'!H31</f>
        <v>0.33333333333333331</v>
      </c>
      <c r="H14" s="31">
        <f>'Datos Prestador'!P30</f>
        <v>0.16666666666666666</v>
      </c>
      <c r="J14" s="3"/>
    </row>
    <row r="15" spans="2:19" x14ac:dyDescent="0.25">
      <c r="B15" s="27" t="s">
        <v>105</v>
      </c>
      <c r="C15" s="27" t="str">
        <f>+'Datos Prestador'!G26</f>
        <v>Peso (Toneladas)</v>
      </c>
      <c r="D15" s="3"/>
      <c r="E15" s="10" t="s">
        <v>236</v>
      </c>
      <c r="J15" s="3"/>
    </row>
    <row r="16" spans="2:19" x14ac:dyDescent="0.25">
      <c r="B16" s="27" t="s">
        <v>467</v>
      </c>
      <c r="C16" s="27" t="str">
        <f>+'Datos Prestador'!O26</f>
        <v>Peso (Toneladas)</v>
      </c>
      <c r="D16" s="3"/>
      <c r="E16" t="s">
        <v>245</v>
      </c>
      <c r="F16" s="27">
        <f>'Datos Prestador'!H32</f>
        <v>1</v>
      </c>
      <c r="H16" s="31">
        <f>IF(C11&lt;4,0,'Datos Prestador'!P31)</f>
        <v>1</v>
      </c>
      <c r="J16" s="3"/>
    </row>
    <row r="17" spans="2:10" x14ac:dyDescent="0.25">
      <c r="B17" s="27"/>
      <c r="C17" s="27"/>
      <c r="D17" s="3"/>
      <c r="E17" t="s">
        <v>246</v>
      </c>
      <c r="F17" s="27">
        <f>+IF(F7="Equipo de tracción manual",0,1)</f>
        <v>1</v>
      </c>
      <c r="H17" s="27"/>
      <c r="J17" s="3"/>
    </row>
    <row r="18" spans="2:10" x14ac:dyDescent="0.25">
      <c r="D18" s="3"/>
      <c r="E18" t="s">
        <v>350</v>
      </c>
      <c r="F18" s="201">
        <f>'Datos Prestador'!H82*ROUNDUP(('C.PrestadorRef'!F16*F24+'C.PrestadorRef'!H16*H24)/20,0)</f>
        <v>0</v>
      </c>
      <c r="J18" s="3"/>
    </row>
    <row r="19" spans="2:10" x14ac:dyDescent="0.25">
      <c r="B19" s="27" t="s">
        <v>255</v>
      </c>
      <c r="C19" s="31">
        <f>+Cálculos!G14</f>
        <v>0</v>
      </c>
      <c r="D19" s="3"/>
      <c r="E19" t="s">
        <v>247</v>
      </c>
      <c r="F19" s="29">
        <f>(IF(C15="Peso (toneladas)",C20,C23)/F9)</f>
        <v>0</v>
      </c>
      <c r="H19" s="29">
        <f>+IFERROR(ROUNDUP(IF(C16="Peso (toneladas)",C20,C23)/H9,0),0)</f>
        <v>0</v>
      </c>
      <c r="J19" s="3"/>
    </row>
    <row r="20" spans="2:10" x14ac:dyDescent="0.25">
      <c r="B20" s="27" t="s">
        <v>256</v>
      </c>
      <c r="C20" s="31">
        <f>+Cálculos!G15</f>
        <v>0</v>
      </c>
      <c r="D20" s="3"/>
      <c r="E20" t="s">
        <v>248</v>
      </c>
      <c r="F20" s="29">
        <f>'Datos Prestador'!H81/'C.PrestadorRef'!F10</f>
        <v>7.0000000000000018</v>
      </c>
      <c r="H20" s="29">
        <f>'Datos Prestador'!H81/'C.PrestadorRef'!H10</f>
        <v>3.4285714285714288</v>
      </c>
      <c r="J20" s="3"/>
    </row>
    <row r="21" spans="2:10" x14ac:dyDescent="0.25">
      <c r="D21" s="3"/>
      <c r="E21" t="s">
        <v>249</v>
      </c>
      <c r="F21" s="29">
        <f>+ROUNDUP((F19/('Datos Prestador'!H79))/('Datos Prestador'!H80*'C.PrestadorRef'!F20),0)</f>
        <v>0</v>
      </c>
      <c r="H21" s="29">
        <f>+ROUNDUP((H19/'Datos Prestador'!H79)/('Datos Prestador'!H80*'C.PrestadorRef'!H20),0)</f>
        <v>0</v>
      </c>
      <c r="J21" s="3"/>
    </row>
    <row r="22" spans="2:10" x14ac:dyDescent="0.25">
      <c r="B22" s="27" t="s">
        <v>276</v>
      </c>
      <c r="C22" s="31">
        <f>+Cálculos!H14</f>
        <v>0</v>
      </c>
      <c r="D22" s="3"/>
      <c r="E22" t="s">
        <v>250</v>
      </c>
      <c r="F22" s="2">
        <f>+ROUNDUP(F21*'Datos Prestador'!H33,0)</f>
        <v>0</v>
      </c>
      <c r="H22" s="2">
        <f>+ROUNDUP(H21*'Datos Prestador'!P32,0)</f>
        <v>0</v>
      </c>
      <c r="J22" s="3"/>
    </row>
    <row r="23" spans="2:10" x14ac:dyDescent="0.25">
      <c r="B23" s="27" t="s">
        <v>277</v>
      </c>
      <c r="C23" s="31">
        <f>+Cálculos!H15</f>
        <v>0</v>
      </c>
      <c r="D23" s="3"/>
      <c r="E23" s="10" t="s">
        <v>251</v>
      </c>
      <c r="F23" s="32">
        <f>+F22+F21</f>
        <v>0</v>
      </c>
      <c r="G23" s="10"/>
      <c r="H23" s="32">
        <f>+H22+H21</f>
        <v>0</v>
      </c>
      <c r="J23" s="3"/>
    </row>
    <row r="24" spans="2:10" x14ac:dyDescent="0.25">
      <c r="D24" s="3"/>
      <c r="E24" s="10" t="s">
        <v>252</v>
      </c>
      <c r="F24" s="32">
        <f>+F21*'Datos Prestador'!H80</f>
        <v>0</v>
      </c>
      <c r="G24" s="10"/>
      <c r="H24" s="32">
        <f>+H21*'Datos Prestador'!H80</f>
        <v>0</v>
      </c>
      <c r="J24" s="3"/>
    </row>
    <row r="25" spans="2:10" x14ac:dyDescent="0.25">
      <c r="B25" s="27" t="s">
        <v>96</v>
      </c>
      <c r="C25" s="27"/>
      <c r="D25" s="3"/>
      <c r="J25" s="3"/>
    </row>
    <row r="26" spans="2:10" x14ac:dyDescent="0.25">
      <c r="B26" s="27" t="str">
        <f>+'Datos Prestador'!G35</f>
        <v>Gal/Km</v>
      </c>
      <c r="C26" s="27"/>
      <c r="D26" s="3"/>
      <c r="E26" s="10" t="s">
        <v>260</v>
      </c>
      <c r="F26" s="29">
        <f>+IF(F6="Combinación de Equipo de tracción manual con camión",0,IF('Datos Prestador'!G37="Longitud (km)",'Datos Prestador'!H39,'Datos Prestador'!H39*'C.PrestadorRef'!F12))</f>
        <v>0</v>
      </c>
      <c r="G26" s="29"/>
      <c r="H26" s="29">
        <f>+IF('Datos Prestador'!O34="Longitud (km)",'Datos Prestador'!P35,'Datos Prestador'!P35*'C.PrestadorRef'!H12)</f>
        <v>8</v>
      </c>
      <c r="J26" s="3"/>
    </row>
    <row r="27" spans="2:10" x14ac:dyDescent="0.25">
      <c r="D27" s="3"/>
      <c r="E27" s="10" t="s">
        <v>261</v>
      </c>
      <c r="F27" s="29">
        <f>+IF('Datos Prestador'!G37="Longitud (km)",'Datos Prestador'!H38,'Datos Prestador'!H38*'C.PrestadorRef'!F11)</f>
        <v>19.999999999999993</v>
      </c>
      <c r="H27" s="27">
        <v>0</v>
      </c>
      <c r="J27" s="3"/>
    </row>
    <row r="28" spans="2:10" x14ac:dyDescent="0.25">
      <c r="D28" s="3"/>
      <c r="E28" s="10"/>
      <c r="F28" s="29"/>
      <c r="G28" s="29"/>
      <c r="J28" s="3"/>
    </row>
    <row r="29" spans="2:10" x14ac:dyDescent="0.25">
      <c r="B29" s="40" t="s">
        <v>262</v>
      </c>
      <c r="C29" s="40"/>
      <c r="D29" s="3"/>
      <c r="E29" s="10" t="s">
        <v>96</v>
      </c>
      <c r="J29" s="3"/>
    </row>
    <row r="30" spans="2:10" x14ac:dyDescent="0.25">
      <c r="B30" s="36" t="s">
        <v>85</v>
      </c>
      <c r="C30" s="37" t="s">
        <v>212</v>
      </c>
      <c r="D30" s="3"/>
      <c r="E30" s="34" t="s">
        <v>259</v>
      </c>
      <c r="F30" s="29">
        <f>+SUM(F31:F32)</f>
        <v>0</v>
      </c>
      <c r="G30" s="29"/>
      <c r="J30" s="3"/>
    </row>
    <row r="31" spans="2:10" x14ac:dyDescent="0.25">
      <c r="B31" s="31">
        <v>1.3</v>
      </c>
      <c r="C31" s="31">
        <v>1.4</v>
      </c>
      <c r="D31" s="3"/>
      <c r="E31" s="35" t="s">
        <v>263</v>
      </c>
      <c r="F31" s="29">
        <f>+IF(F7="Equipo de tracción manual",0,IF('Datos Prestador'!G35="Gal/km",'Datos Prestador'!H36*'C.PrestadorRef'!F26*'C.PrestadorRef'!F19,0.142857142857143*F12*F19*'Datos Prestador'!H36*HLOOKUP(F7,'C.PrestadorRef'!B30:C31,2,0)))</f>
        <v>0</v>
      </c>
      <c r="G31" s="29"/>
      <c r="H31" s="27">
        <v>0</v>
      </c>
      <c r="J31" s="3"/>
    </row>
    <row r="32" spans="2:10" x14ac:dyDescent="0.25">
      <c r="D32" s="3"/>
      <c r="E32" s="35" t="s">
        <v>264</v>
      </c>
      <c r="F32" s="29">
        <f>+IF(F7="Equipo de tracción manual",0,IF('Datos Prestador'!G35="Gal/km",'Datos Prestador'!H36*'C.PrestadorRef'!F27*'C.PrestadorRef'!F19,F11*F19*'Datos Prestador'!H36))</f>
        <v>0</v>
      </c>
      <c r="H32" s="27">
        <v>0</v>
      </c>
      <c r="J32" s="3"/>
    </row>
    <row r="33" spans="2:19" x14ac:dyDescent="0.25">
      <c r="B33" s="27" t="s">
        <v>280</v>
      </c>
      <c r="C33" s="42">
        <f>+IF('Datos Prestador'!M261="",'Datos Prestador'!N261,'Datos Prestador'!M261)</f>
        <v>0.127</v>
      </c>
      <c r="D33" s="3"/>
    </row>
    <row r="34" spans="2:19" x14ac:dyDescent="0.25">
      <c r="B34" s="27" t="s">
        <v>285</v>
      </c>
      <c r="C34" s="43">
        <f>(1+C33)^(1/12)-1</f>
        <v>1.0013068206861098E-2</v>
      </c>
      <c r="D34" s="3"/>
    </row>
    <row r="35" spans="2:19" ht="21" x14ac:dyDescent="0.35">
      <c r="D35" s="3"/>
      <c r="E35" s="1203" t="s">
        <v>382</v>
      </c>
      <c r="F35" s="1203"/>
      <c r="G35" s="1203"/>
      <c r="H35" s="1203"/>
      <c r="I35" s="1203"/>
      <c r="J35" s="1203"/>
      <c r="K35" s="1203"/>
      <c r="M35" s="1204" t="s">
        <v>289</v>
      </c>
      <c r="N35" s="1205"/>
      <c r="O35" s="1205"/>
      <c r="P35" s="1205"/>
      <c r="Q35" s="1205"/>
      <c r="R35" s="1205"/>
    </row>
    <row r="36" spans="2:19" x14ac:dyDescent="0.25">
      <c r="B36" s="27" t="s">
        <v>473</v>
      </c>
      <c r="C36" s="27"/>
      <c r="D36" s="3"/>
      <c r="E36" s="1193" t="str">
        <f>+E85</f>
        <v>Costos de inversión y preinversión</v>
      </c>
      <c r="F36" s="1193"/>
      <c r="G36" s="1193"/>
      <c r="H36" s="1193"/>
      <c r="I36" s="1193"/>
      <c r="J36" s="1193"/>
      <c r="K36" s="1193"/>
      <c r="L36" s="1193"/>
      <c r="M36" s="1193"/>
      <c r="N36" s="1193"/>
      <c r="O36" s="1193"/>
      <c r="P36" s="1193"/>
      <c r="Q36" s="1193"/>
      <c r="R36" s="1193"/>
      <c r="S36" s="1193"/>
    </row>
    <row r="37" spans="2:19" x14ac:dyDescent="0.25">
      <c r="B37" s="27" t="s">
        <v>125</v>
      </c>
      <c r="C37" s="27" t="b">
        <f>+'C.Prestador'!C37</f>
        <v>0</v>
      </c>
      <c r="D37" s="3"/>
    </row>
    <row r="38" spans="2:19" x14ac:dyDescent="0.25">
      <c r="B38" s="27" t="s">
        <v>424</v>
      </c>
      <c r="C38" s="27" t="b">
        <f>+'C.Prestador'!C38</f>
        <v>0</v>
      </c>
      <c r="D38" s="3"/>
      <c r="N38" s="46" t="s">
        <v>288</v>
      </c>
      <c r="O38" s="46"/>
      <c r="P38" s="46"/>
      <c r="Q38" s="46"/>
    </row>
    <row r="39" spans="2:19" x14ac:dyDescent="0.25">
      <c r="B39" s="27" t="s">
        <v>474</v>
      </c>
      <c r="C39" s="27" t="b">
        <f>+'C.Prestador'!C39</f>
        <v>1</v>
      </c>
      <c r="D39" s="3"/>
      <c r="F39" s="10" t="s">
        <v>110</v>
      </c>
      <c r="G39" s="10" t="s">
        <v>267</v>
      </c>
      <c r="H39" s="10" t="s">
        <v>268</v>
      </c>
      <c r="I39" s="46" t="s">
        <v>272</v>
      </c>
      <c r="J39" s="46"/>
      <c r="K39" s="10" t="s">
        <v>299</v>
      </c>
      <c r="M39" s="141" t="s">
        <v>469</v>
      </c>
      <c r="N39" s="153" t="s">
        <v>424</v>
      </c>
      <c r="O39" s="153" t="s">
        <v>137</v>
      </c>
      <c r="Q39" s="10" t="s">
        <v>125</v>
      </c>
      <c r="R39" s="10" t="s">
        <v>424</v>
      </c>
      <c r="S39" s="10" t="s">
        <v>137</v>
      </c>
    </row>
    <row r="40" spans="2:19" x14ac:dyDescent="0.25">
      <c r="D40" s="3"/>
      <c r="E40" t="s">
        <v>85</v>
      </c>
      <c r="F40">
        <f>+IF(F6="Equipo de tracción manual",0,IF(OR(F7="vehículo motorizado mediano",F6="combinación de Equipo de tracción manual con camión"),0,F23))</f>
        <v>0</v>
      </c>
      <c r="G40" s="2">
        <f>'Datos Prestador'!K65</f>
        <v>7290.2503836494298</v>
      </c>
      <c r="H40" s="2">
        <f>+G40*F40</f>
        <v>0</v>
      </c>
      <c r="I40" s="1202">
        <f>'Datos Prestador'!$H$34</f>
        <v>12</v>
      </c>
      <c r="J40" s="1202"/>
      <c r="K40" s="2">
        <f>+IF(F40&gt;0,PMT($C$34,I40*12,-H40),0)</f>
        <v>0</v>
      </c>
      <c r="M40" t="b">
        <f>+'C.Prestador'!M40</f>
        <v>1</v>
      </c>
      <c r="N40" t="b">
        <f>+'C.Prestador'!N40</f>
        <v>0</v>
      </c>
      <c r="O40" t="b">
        <f>+'C.Prestador'!O40</f>
        <v>0</v>
      </c>
      <c r="Q40" s="2">
        <f>+IF(M40=TRUE,K40,0)</f>
        <v>0</v>
      </c>
      <c r="R40" s="2">
        <f>+IF(N40=TRUE,K40,0)</f>
        <v>0</v>
      </c>
      <c r="S40" s="2">
        <f>+IF(O40=TRUE,K40,0)</f>
        <v>0</v>
      </c>
    </row>
    <row r="41" spans="2:19" x14ac:dyDescent="0.25">
      <c r="D41" s="3"/>
      <c r="E41" t="s">
        <v>212</v>
      </c>
      <c r="F41">
        <f>IF(OR(F7="vehículo motorizado mediano",F6="combinación de Equipo de tracción manual con camión"),F23,0)</f>
        <v>0</v>
      </c>
      <c r="G41" s="2">
        <f>'Datos Prestador'!K66</f>
        <v>29161.001534597701</v>
      </c>
      <c r="H41" s="2">
        <f>+G41*F41</f>
        <v>0</v>
      </c>
      <c r="I41" s="1202">
        <f>'Datos Prestador'!$H$34</f>
        <v>12</v>
      </c>
      <c r="J41" s="1202"/>
      <c r="K41" s="2">
        <f>+IF(F41&gt;0,PMT($C$34,I41*12,-H41),0)</f>
        <v>0</v>
      </c>
      <c r="M41" t="b">
        <f>+'C.Prestador'!M41</f>
        <v>1</v>
      </c>
      <c r="N41" t="b">
        <f>+'C.Prestador'!N41</f>
        <v>0</v>
      </c>
      <c r="O41" t="b">
        <f>+'C.Prestador'!O41</f>
        <v>0</v>
      </c>
      <c r="Q41" s="2">
        <f>+IF(M41=TRUE,K41,0)</f>
        <v>0</v>
      </c>
      <c r="R41" s="2">
        <f>+IF(N41=TRUE,K41,0)</f>
        <v>0</v>
      </c>
      <c r="S41" s="2">
        <f>+IF(O41=TRUE,K41,0)</f>
        <v>0</v>
      </c>
    </row>
    <row r="42" spans="2:19" x14ac:dyDescent="0.25">
      <c r="D42" s="3"/>
      <c r="E42" t="s">
        <v>433</v>
      </c>
      <c r="F42">
        <f>IF(F7="Equipo de tracción manual",F23,IF(F6="Combinación de Equipo de tracción manual con camión",H23,0))</f>
        <v>0</v>
      </c>
      <c r="G42" s="2">
        <f>'Datos Prestador'!K67</f>
        <v>364.51251918247101</v>
      </c>
      <c r="H42" s="2">
        <f>+G42*F42</f>
        <v>0</v>
      </c>
      <c r="I42" s="1202">
        <f>+IF(AND('Datos Prestador'!$O$33="",'Datos Prestador'!K54=""),'Datos Prestador'!$P$33,IF('Datos Prestador'!K54="",'Datos Prestador'!$O$33,'Datos Prestador'!K54))</f>
        <v>2</v>
      </c>
      <c r="J42" s="1202"/>
      <c r="K42" s="2">
        <f>+IF(F42&gt;0,PMT($C$34,I42*12,-H42),0)</f>
        <v>0</v>
      </c>
      <c r="M42" t="b">
        <f>+'C.Prestador'!M42</f>
        <v>1</v>
      </c>
      <c r="N42" t="b">
        <f>+'C.Prestador'!N42</f>
        <v>0</v>
      </c>
      <c r="O42" t="b">
        <f>+'C.Prestador'!O42</f>
        <v>0</v>
      </c>
      <c r="Q42" s="2">
        <f>+IF(M42=TRUE,K42,0)</f>
        <v>0</v>
      </c>
      <c r="R42" s="2">
        <f>+IF(N42=TRUE,K42,0)</f>
        <v>0</v>
      </c>
      <c r="S42" s="2">
        <f>+IF(O42=TRUE,K42,0)</f>
        <v>0</v>
      </c>
    </row>
    <row r="43" spans="2:19" x14ac:dyDescent="0.25">
      <c r="D43" s="3"/>
      <c r="E43" t="s">
        <v>153</v>
      </c>
      <c r="F43">
        <f>'Datos Prestador'!G40</f>
        <v>0</v>
      </c>
      <c r="G43" s="2">
        <f>'Datos Prestador'!K68</f>
        <v>320</v>
      </c>
      <c r="H43" s="2">
        <f>+G43*F43</f>
        <v>0</v>
      </c>
      <c r="I43" s="1202">
        <v>6</v>
      </c>
      <c r="J43" s="1202"/>
      <c r="K43" s="2">
        <f>+IF(F43&gt;0,PMT($C$34,I43*12,-H43),0)</f>
        <v>0</v>
      </c>
      <c r="M43" t="b">
        <f>+'C.Prestador'!M43</f>
        <v>1</v>
      </c>
      <c r="N43" t="b">
        <f>+'C.Prestador'!N43</f>
        <v>0</v>
      </c>
      <c r="O43" t="b">
        <f>+'C.Prestador'!O43</f>
        <v>0</v>
      </c>
      <c r="Q43" s="2">
        <f>+IF(M43=TRUE,K43,0)</f>
        <v>0</v>
      </c>
      <c r="R43" s="2">
        <f>+IF(N43=TRUE,K43,0)</f>
        <v>0</v>
      </c>
      <c r="S43" s="2">
        <f>+IF(O43=TRUE,K43,0)</f>
        <v>0</v>
      </c>
    </row>
    <row r="44" spans="2:19" x14ac:dyDescent="0.25">
      <c r="D44" s="3"/>
      <c r="E44" s="10" t="s">
        <v>9</v>
      </c>
      <c r="F44" s="10"/>
      <c r="G44" s="10"/>
      <c r="H44" s="32">
        <f>+SUM(H40:H43)</f>
        <v>0</v>
      </c>
      <c r="I44" s="10"/>
      <c r="J44" s="10"/>
      <c r="K44" s="32">
        <f>+SUM(K40:K43)</f>
        <v>0</v>
      </c>
      <c r="P44" s="10" t="s">
        <v>9</v>
      </c>
      <c r="Q44" s="32">
        <f>+SUM(Q40:Q43)</f>
        <v>0</v>
      </c>
      <c r="R44" s="32">
        <f>+SUM(R40:R43)</f>
        <v>0</v>
      </c>
      <c r="S44" s="32">
        <f>+SUM(S40:S43)</f>
        <v>0</v>
      </c>
    </row>
    <row r="45" spans="2:19" x14ac:dyDescent="0.25">
      <c r="D45" s="3"/>
    </row>
    <row r="46" spans="2:19" x14ac:dyDescent="0.25">
      <c r="D46" s="3"/>
    </row>
    <row r="47" spans="2:19" x14ac:dyDescent="0.25">
      <c r="D47" s="3"/>
      <c r="E47" s="1193" t="str">
        <f>+E87</f>
        <v>Costos variables</v>
      </c>
      <c r="F47" s="1193"/>
      <c r="G47" s="1193"/>
      <c r="H47" s="1193"/>
      <c r="I47" s="1193"/>
      <c r="J47" s="1193"/>
      <c r="K47" s="1193"/>
      <c r="L47" s="1193"/>
      <c r="M47" s="1193"/>
      <c r="N47" s="1193"/>
      <c r="O47" s="1193"/>
      <c r="P47" s="1193"/>
      <c r="Q47" s="1193"/>
      <c r="R47" s="1193"/>
      <c r="S47" s="1193"/>
    </row>
    <row r="48" spans="2:19" x14ac:dyDescent="0.25">
      <c r="D48" s="3"/>
    </row>
    <row r="49" spans="4:19" x14ac:dyDescent="0.25">
      <c r="D49" s="3"/>
      <c r="E49" s="10" t="s">
        <v>265</v>
      </c>
      <c r="Q49" s="10"/>
      <c r="R49" s="10"/>
    </row>
    <row r="50" spans="4:19" x14ac:dyDescent="0.25">
      <c r="D50" s="3"/>
      <c r="E50" t="s">
        <v>470</v>
      </c>
      <c r="F50" s="29">
        <f>+SUM(F31:F32)*'Datos Prestador'!H112</f>
        <v>0</v>
      </c>
      <c r="M50" s="141" t="s">
        <v>469</v>
      </c>
      <c r="N50" s="153" t="s">
        <v>424</v>
      </c>
      <c r="O50" s="153" t="s">
        <v>137</v>
      </c>
      <c r="Q50" s="10" t="s">
        <v>125</v>
      </c>
      <c r="R50" s="10" t="s">
        <v>424</v>
      </c>
      <c r="S50" s="10" t="s">
        <v>137</v>
      </c>
    </row>
    <row r="51" spans="4:19" x14ac:dyDescent="0.25">
      <c r="D51" s="3"/>
      <c r="M51" t="b">
        <f>+'C.Prestador'!M51</f>
        <v>0</v>
      </c>
      <c r="N51" t="b">
        <f>+'C.Prestador'!N51</f>
        <v>0</v>
      </c>
      <c r="O51" t="b">
        <f>+'C.Prestador'!O51</f>
        <v>1</v>
      </c>
      <c r="P51" t="b">
        <f>+'C.Prestador'!P51</f>
        <v>0</v>
      </c>
      <c r="Q51" s="2">
        <f>+IF(M51=TRUE,$F$50,0)</f>
        <v>0</v>
      </c>
      <c r="R51" s="2">
        <f>+IF(N51=TRUE,$F$50,0)</f>
        <v>0</v>
      </c>
      <c r="S51" s="2">
        <f>+IF(O51=TRUE,$F$50,0)</f>
        <v>0</v>
      </c>
    </row>
    <row r="52" spans="4:19" x14ac:dyDescent="0.25">
      <c r="D52" s="3"/>
      <c r="E52" s="10" t="s">
        <v>238</v>
      </c>
      <c r="F52" s="29"/>
      <c r="M52" t="b">
        <f>+'C.Prestador'!M52</f>
        <v>0</v>
      </c>
      <c r="N52" t="b">
        <f>+'C.Prestador'!N52</f>
        <v>0</v>
      </c>
      <c r="O52" t="b">
        <f>+'C.Prestador'!O52</f>
        <v>1</v>
      </c>
      <c r="P52" t="b">
        <f>+'C.Prestador'!P52</f>
        <v>0</v>
      </c>
      <c r="Q52" s="2">
        <f>+IF(M52=TRUE,$F$53,0)</f>
        <v>0</v>
      </c>
      <c r="R52" s="2">
        <f>+IF(N52=TRUE,$F$53,0)</f>
        <v>0</v>
      </c>
      <c r="S52" s="2">
        <f>+IF(O52=TRUE,$F$53,0)</f>
        <v>0</v>
      </c>
    </row>
    <row r="53" spans="4:19" x14ac:dyDescent="0.25">
      <c r="D53" s="3"/>
      <c r="E53" t="s">
        <v>460</v>
      </c>
      <c r="F53" s="29">
        <f>'Datos Prestador'!J113*(F40+F41)</f>
        <v>0</v>
      </c>
      <c r="M53" t="b">
        <f>+'C.Prestador'!M53</f>
        <v>0</v>
      </c>
      <c r="N53" t="b">
        <f>+'C.Prestador'!N53</f>
        <v>0</v>
      </c>
      <c r="O53" t="b">
        <f>+'C.Prestador'!O53</f>
        <v>1</v>
      </c>
      <c r="P53" t="b">
        <f>+'C.Prestador'!P53</f>
        <v>0</v>
      </c>
      <c r="Q53" s="2">
        <f>+IF(M53=TRUE,$F$50,0)</f>
        <v>0</v>
      </c>
      <c r="R53" s="2">
        <f>+IF(N53=TRUE,$F$54,0)</f>
        <v>0</v>
      </c>
      <c r="S53" s="2">
        <f>+IF(O53=TRUE,$F$54,0)</f>
        <v>0</v>
      </c>
    </row>
    <row r="54" spans="4:19" x14ac:dyDescent="0.25">
      <c r="D54" s="3"/>
      <c r="E54" t="s">
        <v>461</v>
      </c>
      <c r="F54" s="29">
        <f>+IF(C11=C9,'Datos Prestador'!J117,IF('C.PrestadorRef'!C11='C.PrestadorRef'!C8,'Datos Prestador'!J113,0))*F42</f>
        <v>0</v>
      </c>
      <c r="G54" s="2"/>
      <c r="O54" t="s">
        <v>9</v>
      </c>
      <c r="P54" s="32"/>
      <c r="Q54" s="32">
        <f>+SUM(Q51:Q53)</f>
        <v>0</v>
      </c>
      <c r="R54" s="32">
        <f>+SUM(R51:R53)</f>
        <v>0</v>
      </c>
      <c r="S54" s="32">
        <f>+SUM(S51:S53)</f>
        <v>0</v>
      </c>
    </row>
    <row r="55" spans="4:19" x14ac:dyDescent="0.25">
      <c r="D55" s="3"/>
      <c r="E55" t="s">
        <v>409</v>
      </c>
      <c r="F55" s="29">
        <f>+C139</f>
        <v>0</v>
      </c>
    </row>
    <row r="56" spans="4:19" x14ac:dyDescent="0.25">
      <c r="D56" s="3"/>
    </row>
    <row r="57" spans="4:19" x14ac:dyDescent="0.25">
      <c r="D57" s="3"/>
      <c r="E57" s="1193" t="str">
        <f>+E88</f>
        <v>Costos de personal</v>
      </c>
      <c r="F57" s="1193"/>
      <c r="G57" s="1193"/>
      <c r="H57" s="1193"/>
      <c r="I57" s="1193"/>
      <c r="J57" s="1193"/>
      <c r="K57" s="1193"/>
      <c r="L57" s="1193"/>
      <c r="M57" s="1193"/>
      <c r="N57" s="1193"/>
      <c r="O57" s="1193"/>
      <c r="P57" s="1193"/>
      <c r="Q57" s="1193"/>
      <c r="R57" s="1193"/>
      <c r="S57" s="1193"/>
    </row>
    <row r="58" spans="4:19" x14ac:dyDescent="0.25">
      <c r="D58" s="3"/>
    </row>
    <row r="59" spans="4:19" ht="30" customHeight="1" x14ac:dyDescent="0.25">
      <c r="D59" s="3"/>
      <c r="E59" t="s">
        <v>136</v>
      </c>
      <c r="F59" s="154" t="str">
        <f>+L61</f>
        <v>Operario de recolección del Equipo de tracción manual</v>
      </c>
      <c r="G59" s="139" t="str">
        <f>+L62</f>
        <v>Operario de recolección del vehículo motorizado</v>
      </c>
      <c r="H59" s="140" t="str">
        <f>+L63</f>
        <v>Conductor</v>
      </c>
      <c r="I59" s="151" t="str">
        <f>+L64</f>
        <v>Supervisor</v>
      </c>
      <c r="K59" s="140"/>
    </row>
    <row r="60" spans="4:19" x14ac:dyDescent="0.25">
      <c r="D60" s="3"/>
      <c r="E60" t="s">
        <v>128</v>
      </c>
      <c r="F60" s="47">
        <f>+'Datos Prestador'!J87</f>
        <v>0</v>
      </c>
      <c r="G60" s="137">
        <f>+'Datos Prestador'!M87</f>
        <v>0</v>
      </c>
      <c r="H60" s="137">
        <f>+'Datos Prestador'!N87</f>
        <v>0</v>
      </c>
      <c r="I60" s="48">
        <f>+'Datos Prestador'!O87</f>
        <v>0</v>
      </c>
      <c r="M60" s="141" t="s">
        <v>469</v>
      </c>
      <c r="N60" s="153" t="s">
        <v>424</v>
      </c>
      <c r="O60" s="153" t="s">
        <v>137</v>
      </c>
      <c r="Q60" s="10" t="s">
        <v>125</v>
      </c>
      <c r="R60" s="10" t="s">
        <v>424</v>
      </c>
      <c r="S60" s="10" t="s">
        <v>137</v>
      </c>
    </row>
    <row r="61" spans="4:19" x14ac:dyDescent="0.25">
      <c r="D61" s="3"/>
      <c r="E61" t="s">
        <v>129</v>
      </c>
      <c r="F61" s="47">
        <f>+'Datos Prestador'!J88</f>
        <v>0</v>
      </c>
      <c r="G61" s="137">
        <f>+'Datos Prestador'!M88</f>
        <v>0</v>
      </c>
      <c r="H61" s="137">
        <f>+'Datos Prestador'!N88</f>
        <v>0</v>
      </c>
      <c r="I61" s="48">
        <f>+'Datos Prestador'!O88</f>
        <v>0</v>
      </c>
      <c r="L61" s="52" t="s">
        <v>455</v>
      </c>
      <c r="M61" t="b">
        <f>+'C.Prestador'!M61</f>
        <v>0</v>
      </c>
      <c r="N61" t="b">
        <f>+'C.Prestador'!N61</f>
        <v>0</v>
      </c>
      <c r="O61" t="b">
        <f>+'C.Prestador'!O61</f>
        <v>1</v>
      </c>
      <c r="Q61" s="63">
        <f>+IF(M61=TRUE,F68,0)</f>
        <v>0</v>
      </c>
      <c r="R61" s="2">
        <f>+IF(N61=TRUE,F68,0)</f>
        <v>0</v>
      </c>
      <c r="S61" s="2">
        <f>+IF(O61=TRUE,F68,0)</f>
        <v>0</v>
      </c>
    </row>
    <row r="62" spans="4:19" x14ac:dyDescent="0.25">
      <c r="D62" s="3"/>
      <c r="E62" t="s">
        <v>130</v>
      </c>
      <c r="F62" s="49">
        <f>+F60*'Datos Prestador'!J89</f>
        <v>0</v>
      </c>
      <c r="G62" s="138">
        <f>+$G$60*'Datos Prestador'!M89</f>
        <v>0</v>
      </c>
      <c r="H62" s="138">
        <f>+$H$60*'Datos Prestador'!N89</f>
        <v>0</v>
      </c>
      <c r="I62" s="8">
        <f>+$I$60*'Datos Prestador'!O89</f>
        <v>0</v>
      </c>
      <c r="L62" s="52" t="s">
        <v>140</v>
      </c>
      <c r="M62" t="b">
        <f>+'C.Prestador'!M62</f>
        <v>0</v>
      </c>
      <c r="N62" t="b">
        <f>+'C.Prestador'!N62</f>
        <v>0</v>
      </c>
      <c r="O62" t="b">
        <f>+'C.Prestador'!O62</f>
        <v>1</v>
      </c>
      <c r="Q62" s="63">
        <f>+IF(M62=TRUE,G68,0)</f>
        <v>0</v>
      </c>
      <c r="R62" s="2">
        <f>+IF(N62=TRUE,G68,0)</f>
        <v>0</v>
      </c>
      <c r="S62" s="2">
        <f>+IF(O62=TRUE,G68,0)</f>
        <v>0</v>
      </c>
    </row>
    <row r="63" spans="4:19" x14ac:dyDescent="0.25">
      <c r="D63" s="3"/>
      <c r="E63" t="s">
        <v>131</v>
      </c>
      <c r="F63" s="49">
        <f>+$F$60*'Datos Prestador'!J90</f>
        <v>0</v>
      </c>
      <c r="G63" s="138">
        <f>+$G$60*'Datos Prestador'!M90</f>
        <v>0</v>
      </c>
      <c r="H63" s="138">
        <f>+$H$60*'Datos Prestador'!N90</f>
        <v>0</v>
      </c>
      <c r="I63" s="8">
        <f>+$I$60*'Datos Prestador'!O90</f>
        <v>0</v>
      </c>
      <c r="L63" s="52" t="s">
        <v>134</v>
      </c>
      <c r="M63" t="b">
        <f>+'C.Prestador'!M63</f>
        <v>0</v>
      </c>
      <c r="N63" t="b">
        <f>+'C.Prestador'!N63</f>
        <v>0</v>
      </c>
      <c r="O63" t="b">
        <f>+'C.Prestador'!O63</f>
        <v>1</v>
      </c>
      <c r="Q63" s="63">
        <f>+IF(M63=TRUE,H68,0)</f>
        <v>0</v>
      </c>
      <c r="R63" s="2">
        <f>+IF(N63=TRUE,H68,0)</f>
        <v>0</v>
      </c>
      <c r="S63" s="2">
        <f>+IF(O62=TRUE,H68,0)</f>
        <v>0</v>
      </c>
    </row>
    <row r="64" spans="4:19" x14ac:dyDescent="0.25">
      <c r="D64" s="3"/>
      <c r="E64" t="s">
        <v>132</v>
      </c>
      <c r="F64" s="49">
        <f>+$F$60*'Datos Prestador'!J91</f>
        <v>0</v>
      </c>
      <c r="G64" s="138">
        <f>+$G$60*'Datos Prestador'!M91</f>
        <v>0</v>
      </c>
      <c r="H64" s="138">
        <f>+$H$60*'Datos Prestador'!N91</f>
        <v>0</v>
      </c>
      <c r="I64" s="8">
        <f>+$I$60*'Datos Prestador'!O91</f>
        <v>0</v>
      </c>
      <c r="L64" s="52" t="s">
        <v>159</v>
      </c>
      <c r="M64" t="b">
        <f>+'C.Prestador'!M64</f>
        <v>0</v>
      </c>
      <c r="N64" t="b">
        <f>+'C.Prestador'!N64</f>
        <v>0</v>
      </c>
      <c r="O64" t="b">
        <f>+'C.Prestador'!O64</f>
        <v>1</v>
      </c>
      <c r="Q64" s="63">
        <f>+IF(M64=TRUE,I68,0)</f>
        <v>0</v>
      </c>
      <c r="R64" s="2">
        <f>+IF(N64=TRUE,I68,0)</f>
        <v>0</v>
      </c>
      <c r="S64" s="2">
        <f>+IF(O62=TRUE,I68,0)</f>
        <v>0</v>
      </c>
    </row>
    <row r="65" spans="5:19" x14ac:dyDescent="0.25">
      <c r="E65" t="s">
        <v>133</v>
      </c>
      <c r="F65" s="49">
        <f>+$F$60*'Datos Prestador'!J92</f>
        <v>0</v>
      </c>
      <c r="G65" s="138">
        <f>+$G$60*'Datos Prestador'!M92</f>
        <v>0</v>
      </c>
      <c r="H65" s="138">
        <f>+$H$60*'Datos Prestador'!N92</f>
        <v>0</v>
      </c>
      <c r="I65" s="8">
        <f>+$I$60*'Datos Prestador'!O92</f>
        <v>0</v>
      </c>
      <c r="P65" s="10" t="s">
        <v>9</v>
      </c>
      <c r="Q65" s="32">
        <f>+SUM(Q61:Q64)</f>
        <v>0</v>
      </c>
      <c r="R65" s="32">
        <f>+SUM(R61:R64)</f>
        <v>0</v>
      </c>
      <c r="S65" s="32">
        <f>+SUM(S61:S64)</f>
        <v>0</v>
      </c>
    </row>
    <row r="66" spans="5:19" x14ac:dyDescent="0.25">
      <c r="E66" t="s">
        <v>135</v>
      </c>
      <c r="F66" s="47">
        <f>+'Datos Prestador'!J93</f>
        <v>0</v>
      </c>
      <c r="G66" s="137">
        <f>+'Datos Prestador'!M93</f>
        <v>0</v>
      </c>
      <c r="H66" s="137">
        <f>+'Datos Prestador'!N93</f>
        <v>0</v>
      </c>
      <c r="I66" s="48">
        <f>+'Datos Prestador'!O93</f>
        <v>0</v>
      </c>
    </row>
    <row r="67" spans="5:19" x14ac:dyDescent="0.25">
      <c r="E67" s="10" t="s">
        <v>9</v>
      </c>
      <c r="F67" s="49">
        <f>+SUM(F60:F66)</f>
        <v>0</v>
      </c>
      <c r="G67" s="138">
        <f>+SUM(G60:I66)</f>
        <v>0</v>
      </c>
      <c r="H67" s="138">
        <f>+SUM(H60:K66)</f>
        <v>0</v>
      </c>
      <c r="I67" s="8">
        <f>+SUM(I60:I66)</f>
        <v>0</v>
      </c>
    </row>
    <row r="68" spans="5:19" x14ac:dyDescent="0.25">
      <c r="E68" s="10" t="s">
        <v>351</v>
      </c>
      <c r="F68" s="49">
        <f>H16*H24*F67</f>
        <v>0</v>
      </c>
      <c r="G68" s="138">
        <f>F16*F24*G67</f>
        <v>0</v>
      </c>
      <c r="H68" s="138">
        <f>F17*F24*H67</f>
        <v>0</v>
      </c>
      <c r="I68" s="8">
        <f>+I67*F18</f>
        <v>0</v>
      </c>
    </row>
    <row r="71" spans="5:19" x14ac:dyDescent="0.25">
      <c r="E71" s="1193" t="str">
        <f>+E86</f>
        <v>Costos fijos</v>
      </c>
      <c r="F71" s="1193"/>
      <c r="G71" s="1193"/>
      <c r="H71" s="1193"/>
      <c r="I71" s="1193"/>
      <c r="J71" s="1193"/>
      <c r="K71" s="1193"/>
      <c r="L71" s="1193"/>
      <c r="M71" s="1193"/>
      <c r="N71" s="1193"/>
      <c r="O71" s="1193"/>
      <c r="P71" s="1193"/>
      <c r="Q71" s="1193"/>
      <c r="R71" s="1193"/>
      <c r="S71" s="1193"/>
    </row>
    <row r="73" spans="5:19" x14ac:dyDescent="0.25">
      <c r="E73" t="s">
        <v>83</v>
      </c>
      <c r="G73" t="s">
        <v>139</v>
      </c>
      <c r="L73" t="s">
        <v>83</v>
      </c>
      <c r="M73" s="34" t="s">
        <v>469</v>
      </c>
      <c r="N73" t="s">
        <v>424</v>
      </c>
      <c r="O73" t="s">
        <v>137</v>
      </c>
      <c r="Q73" s="10" t="s">
        <v>125</v>
      </c>
      <c r="R73" s="10" t="s">
        <v>424</v>
      </c>
      <c r="S73" s="10" t="s">
        <v>137</v>
      </c>
    </row>
    <row r="74" spans="5:19" x14ac:dyDescent="0.25">
      <c r="E74" t="s">
        <v>85</v>
      </c>
      <c r="G74" s="29">
        <f>+'Datos Prestador'!J126*F40</f>
        <v>0</v>
      </c>
      <c r="L74" t="s">
        <v>85</v>
      </c>
      <c r="M74" t="b">
        <f>+'C.Prestador'!M74</f>
        <v>0</v>
      </c>
      <c r="N74" t="b">
        <f>+'C.Prestador'!N74</f>
        <v>0</v>
      </c>
      <c r="O74" t="b">
        <f>+'C.Prestador'!O74</f>
        <v>1</v>
      </c>
      <c r="Q74">
        <f>+IF(M74=TRUE,$G74,0)</f>
        <v>0</v>
      </c>
      <c r="R74" s="2">
        <f>+IF(N74=TRUE,$G74,0)</f>
        <v>0</v>
      </c>
      <c r="S74" s="2">
        <f>+IF(O74=TRUE,$G74,0)</f>
        <v>0</v>
      </c>
    </row>
    <row r="75" spans="5:19" x14ac:dyDescent="0.25">
      <c r="E75" t="s">
        <v>212</v>
      </c>
      <c r="G75" s="29">
        <f>+'Datos Prestador'!J127*F41</f>
        <v>0</v>
      </c>
      <c r="L75" t="s">
        <v>212</v>
      </c>
      <c r="M75" t="b">
        <f>+'C.Prestador'!M75</f>
        <v>0</v>
      </c>
      <c r="N75" t="b">
        <f>+'C.Prestador'!N75</f>
        <v>0</v>
      </c>
      <c r="O75" t="b">
        <f>+'C.Prestador'!O75</f>
        <v>1</v>
      </c>
      <c r="Q75">
        <f t="shared" ref="Q75:S77" si="0">+IF(M75=TRUE,$G75,0)</f>
        <v>0</v>
      </c>
      <c r="R75" s="2">
        <f t="shared" si="0"/>
        <v>0</v>
      </c>
      <c r="S75" s="2">
        <f t="shared" si="0"/>
        <v>0</v>
      </c>
    </row>
    <row r="76" spans="5:19" x14ac:dyDescent="0.25">
      <c r="E76" t="s">
        <v>433</v>
      </c>
      <c r="G76" s="29">
        <f>+'Datos Prestador'!J128*F42</f>
        <v>0</v>
      </c>
      <c r="L76" t="s">
        <v>433</v>
      </c>
      <c r="M76" t="b">
        <f>+'C.Prestador'!M76</f>
        <v>0</v>
      </c>
      <c r="N76" t="b">
        <f>+'C.Prestador'!N76</f>
        <v>0</v>
      </c>
      <c r="O76" t="b">
        <f>+'C.Prestador'!O76</f>
        <v>1</v>
      </c>
      <c r="Q76">
        <f t="shared" si="0"/>
        <v>0</v>
      </c>
      <c r="R76" s="2">
        <f t="shared" si="0"/>
        <v>0</v>
      </c>
      <c r="S76" s="2">
        <f t="shared" si="0"/>
        <v>0</v>
      </c>
    </row>
    <row r="77" spans="5:19" x14ac:dyDescent="0.25">
      <c r="E77" t="s">
        <v>153</v>
      </c>
      <c r="G77" s="29">
        <f>+'Datos Prestador'!J129*F43</f>
        <v>0</v>
      </c>
      <c r="L77" t="s">
        <v>153</v>
      </c>
      <c r="M77" t="b">
        <f>+'C.Prestador'!M77</f>
        <v>0</v>
      </c>
      <c r="N77" t="b">
        <f>+'C.Prestador'!N77</f>
        <v>0</v>
      </c>
      <c r="O77" t="b">
        <f>+'C.Prestador'!O77</f>
        <v>1</v>
      </c>
      <c r="Q77">
        <f t="shared" si="0"/>
        <v>0</v>
      </c>
      <c r="R77" s="2">
        <f t="shared" si="0"/>
        <v>0</v>
      </c>
      <c r="S77" s="2">
        <f t="shared" si="0"/>
        <v>0</v>
      </c>
    </row>
    <row r="78" spans="5:19" x14ac:dyDescent="0.25">
      <c r="E78" s="10" t="s">
        <v>9</v>
      </c>
      <c r="G78" s="32">
        <f>+IF(C11=0,0,SUM(G74:G77))</f>
        <v>0</v>
      </c>
      <c r="P78" s="10" t="s">
        <v>9</v>
      </c>
      <c r="Q78" s="29">
        <f>+SUM(Q74:Q77)</f>
        <v>0</v>
      </c>
      <c r="R78" s="29">
        <f>+SUM(R74:R77)</f>
        <v>0</v>
      </c>
      <c r="S78" s="29">
        <f>+SUM(S74:S77)</f>
        <v>0</v>
      </c>
    </row>
    <row r="82" spans="2:19" x14ac:dyDescent="0.25">
      <c r="E82" s="1193" t="s">
        <v>296</v>
      </c>
      <c r="F82" s="1193"/>
      <c r="G82" s="1193"/>
      <c r="H82" s="1193"/>
      <c r="I82" s="1193"/>
      <c r="J82" s="1193"/>
      <c r="K82" s="1193"/>
      <c r="L82" s="1193"/>
      <c r="M82" s="1193"/>
      <c r="N82" s="1193"/>
      <c r="O82" s="1193"/>
      <c r="P82" s="1193"/>
      <c r="Q82" s="1193"/>
      <c r="R82" s="1193"/>
      <c r="S82" s="1193"/>
    </row>
    <row r="84" spans="2:19" ht="26.25" x14ac:dyDescent="0.25">
      <c r="E84" s="10" t="s">
        <v>86</v>
      </c>
      <c r="F84" s="10" t="s">
        <v>298</v>
      </c>
      <c r="M84" s="10" t="s">
        <v>86</v>
      </c>
      <c r="N84" t="s">
        <v>426</v>
      </c>
      <c r="O84" s="125" t="s">
        <v>137</v>
      </c>
      <c r="P84" t="s">
        <v>125</v>
      </c>
    </row>
    <row r="85" spans="2:19" x14ac:dyDescent="0.25">
      <c r="E85" t="s">
        <v>291</v>
      </c>
      <c r="F85" s="201">
        <f>+K44</f>
        <v>0</v>
      </c>
      <c r="M85" t="s">
        <v>291</v>
      </c>
      <c r="N85" s="29">
        <f>+R44</f>
        <v>0</v>
      </c>
      <c r="O85" s="29">
        <f>+S44</f>
        <v>0</v>
      </c>
      <c r="P85" s="29">
        <f t="shared" ref="P85:P90" si="1">+IF((F85-N85-O85)&lt;0,0,F85-N85-O85)</f>
        <v>0</v>
      </c>
    </row>
    <row r="86" spans="2:19" x14ac:dyDescent="0.25">
      <c r="E86" t="s">
        <v>290</v>
      </c>
      <c r="F86" s="201">
        <f>+G78</f>
        <v>0</v>
      </c>
      <c r="M86" t="s">
        <v>290</v>
      </c>
      <c r="N86" s="29">
        <f>+R78</f>
        <v>0</v>
      </c>
      <c r="O86" s="29">
        <f>+S78</f>
        <v>0</v>
      </c>
      <c r="P86" s="29">
        <f t="shared" si="1"/>
        <v>0</v>
      </c>
    </row>
    <row r="87" spans="2:19" x14ac:dyDescent="0.25">
      <c r="E87" t="s">
        <v>292</v>
      </c>
      <c r="F87" s="201">
        <f>+SUM(F50,F53,F54)</f>
        <v>0</v>
      </c>
      <c r="M87" t="s">
        <v>292</v>
      </c>
      <c r="N87" s="29">
        <f>+R54</f>
        <v>0</v>
      </c>
      <c r="O87" s="29">
        <f>+S54</f>
        <v>0</v>
      </c>
      <c r="P87" s="29">
        <f t="shared" si="1"/>
        <v>0</v>
      </c>
    </row>
    <row r="88" spans="2:19" x14ac:dyDescent="0.25">
      <c r="E88" t="s">
        <v>293</v>
      </c>
      <c r="F88" s="29">
        <f>+SUM(F68:K68)</f>
        <v>0</v>
      </c>
      <c r="M88" t="s">
        <v>293</v>
      </c>
      <c r="N88" s="29">
        <f>+R65</f>
        <v>0</v>
      </c>
      <c r="O88" s="29">
        <f>+S65</f>
        <v>0</v>
      </c>
      <c r="P88" s="29">
        <f t="shared" si="1"/>
        <v>0</v>
      </c>
    </row>
    <row r="89" spans="2:19" x14ac:dyDescent="0.25">
      <c r="E89" t="s">
        <v>208</v>
      </c>
      <c r="F89" s="201">
        <f>'Datos Prestador'!L253*SUM(F85:F88)</f>
        <v>0</v>
      </c>
      <c r="M89" t="s">
        <v>208</v>
      </c>
      <c r="N89" s="29">
        <f>+IF(C38=TRUE,F89,0)</f>
        <v>0</v>
      </c>
      <c r="O89" s="29">
        <f>+IF(C39=TRUE,F89,0)</f>
        <v>0</v>
      </c>
      <c r="P89" s="29">
        <f t="shared" si="1"/>
        <v>0</v>
      </c>
    </row>
    <row r="90" spans="2:19" x14ac:dyDescent="0.25">
      <c r="E90" t="s">
        <v>294</v>
      </c>
      <c r="F90" s="201">
        <f>+SUM(F86:F89)*$C$34</f>
        <v>0</v>
      </c>
      <c r="M90" t="s">
        <v>294</v>
      </c>
      <c r="N90" s="29">
        <f>+SUM(N86:N89)*$C$34</f>
        <v>0</v>
      </c>
      <c r="O90" s="29">
        <f>+SUM(O86:O89)*$C$34</f>
        <v>0</v>
      </c>
      <c r="P90" s="29">
        <f t="shared" si="1"/>
        <v>0</v>
      </c>
    </row>
    <row r="91" spans="2:19" x14ac:dyDescent="0.25">
      <c r="E91" s="10" t="s">
        <v>295</v>
      </c>
      <c r="F91" s="32">
        <f>+SUM(F85:F90)</f>
        <v>0</v>
      </c>
      <c r="M91" t="s">
        <v>9</v>
      </c>
      <c r="N91" s="29">
        <f>+SUM(N85:N90)</f>
        <v>0</v>
      </c>
      <c r="O91" s="29">
        <f>+SUM(O85:O90)</f>
        <v>0</v>
      </c>
      <c r="P91" s="29">
        <f>+SUM(P85:P90)</f>
        <v>0</v>
      </c>
    </row>
    <row r="94" spans="2:19" ht="57.75" customHeight="1" x14ac:dyDescent="0.25">
      <c r="B94" s="1207" t="s">
        <v>300</v>
      </c>
      <c r="C94" s="1208"/>
      <c r="D94" s="1208"/>
      <c r="E94" s="1208"/>
      <c r="F94" s="1208"/>
      <c r="G94" s="1208"/>
      <c r="H94" s="1208"/>
      <c r="I94" s="1208"/>
      <c r="J94" s="1208"/>
      <c r="K94" s="1208"/>
      <c r="L94" s="1208"/>
      <c r="M94" s="1208"/>
      <c r="N94" s="1208"/>
      <c r="O94" s="1208"/>
      <c r="P94" s="1208"/>
      <c r="Q94" s="1208"/>
      <c r="R94" s="1208"/>
      <c r="S94" s="1208"/>
    </row>
    <row r="97" spans="2:19" x14ac:dyDescent="0.25">
      <c r="B97" s="27" t="s">
        <v>121</v>
      </c>
      <c r="C97" s="27"/>
      <c r="E97" s="1193" t="s">
        <v>291</v>
      </c>
      <c r="F97" s="1193"/>
      <c r="G97" s="1193"/>
      <c r="H97" s="1193"/>
      <c r="I97" s="1193"/>
      <c r="J97" s="1193"/>
      <c r="K97" s="1193"/>
      <c r="L97" s="1193"/>
      <c r="M97" s="1193"/>
      <c r="N97" s="1193"/>
      <c r="O97" s="1193"/>
      <c r="P97" s="1193"/>
      <c r="Q97" s="1193"/>
      <c r="R97" s="1193"/>
      <c r="S97" s="1193"/>
    </row>
    <row r="98" spans="2:19" ht="15.75" x14ac:dyDescent="0.25">
      <c r="B98" s="27"/>
      <c r="C98" s="27"/>
      <c r="E98" s="162" t="s">
        <v>480</v>
      </c>
    </row>
    <row r="99" spans="2:19" x14ac:dyDescent="0.25">
      <c r="B99" s="27" t="s">
        <v>302</v>
      </c>
      <c r="C99" s="27" t="b">
        <f>+'C.Prestador'!C96</f>
        <v>0</v>
      </c>
      <c r="E99" s="10" t="s">
        <v>314</v>
      </c>
      <c r="F99" s="10" t="str">
        <f>+C120</f>
        <v>Cantidad pequeño</v>
      </c>
      <c r="G99" s="10" t="str">
        <f>+C121</f>
        <v>Selecccione unitario pequeño</v>
      </c>
      <c r="H99" s="10" t="s">
        <v>268</v>
      </c>
      <c r="I99" s="1206" t="s">
        <v>360</v>
      </c>
      <c r="J99" s="1206"/>
      <c r="K99" s="1206"/>
      <c r="M99" t="s">
        <v>471</v>
      </c>
      <c r="N99" t="s">
        <v>424</v>
      </c>
      <c r="O99" t="s">
        <v>137</v>
      </c>
      <c r="Q99" s="10" t="s">
        <v>125</v>
      </c>
      <c r="R99" s="10" t="s">
        <v>424</v>
      </c>
      <c r="S99" s="10" t="s">
        <v>137</v>
      </c>
    </row>
    <row r="100" spans="2:19" x14ac:dyDescent="0.25">
      <c r="B100" s="27" t="s">
        <v>303</v>
      </c>
      <c r="C100" s="27" t="b">
        <f>+'C.Prestador'!C97</f>
        <v>1</v>
      </c>
      <c r="E100" s="60" t="s">
        <v>315</v>
      </c>
      <c r="F100" s="60">
        <f>'Datos Prestador'!J193*$C$114</f>
        <v>0</v>
      </c>
      <c r="G100" s="60">
        <f>'Datos Prestador'!M193</f>
        <v>0</v>
      </c>
      <c r="H100" s="60">
        <f>+G100*F100</f>
        <v>0</v>
      </c>
      <c r="I100" s="1190">
        <f>+IF(F100&gt;0,PMT($C$34,IF('Datos Prestador'!$O$145="",'Datos Prestador'!$P$145,'Datos Prestador'!$O$145)*12,-'C.PrestadorRef'!H100),0)</f>
        <v>0</v>
      </c>
      <c r="J100" s="1190"/>
      <c r="K100" s="1190"/>
      <c r="M100" t="b">
        <f>+'C.Prestador'!M100</f>
        <v>0</v>
      </c>
      <c r="N100" t="b">
        <f>+'C.Prestador'!N100</f>
        <v>0</v>
      </c>
      <c r="O100" t="b">
        <f>+'C.Prestador'!O100</f>
        <v>1</v>
      </c>
      <c r="Q100" s="2">
        <f>+IF(M100=TRUE,$I100,0)</f>
        <v>0</v>
      </c>
      <c r="R100" s="2">
        <f>+IF(N100=TRUE,$I100,0)</f>
        <v>0</v>
      </c>
      <c r="S100" s="2">
        <f>+IF(O100=TRUE,$I100,0)</f>
        <v>0</v>
      </c>
    </row>
    <row r="101" spans="2:19" x14ac:dyDescent="0.25">
      <c r="B101" s="27"/>
      <c r="C101" s="27"/>
      <c r="E101" s="61" t="s">
        <v>168</v>
      </c>
      <c r="F101" s="61">
        <f>'Datos Prestador'!J194*$C$114</f>
        <v>0</v>
      </c>
      <c r="G101" s="61">
        <f>'Datos Prestador'!M194</f>
        <v>0</v>
      </c>
      <c r="H101" s="61">
        <f t="shared" ref="H101:H127" si="2">+G101*F101</f>
        <v>0</v>
      </c>
      <c r="I101" s="1199">
        <f>+IF(F101&gt;0,PMT($C$34,IF('Datos Prestador'!$O$145="",'Datos Prestador'!$P$145,'Datos Prestador'!$O$145)*12,-'C.PrestadorRef'!H101),0)</f>
        <v>0</v>
      </c>
      <c r="J101" s="1199"/>
      <c r="K101" s="1199"/>
      <c r="P101" s="27"/>
      <c r="Q101" s="28"/>
      <c r="R101" s="27"/>
      <c r="S101" s="27"/>
    </row>
    <row r="102" spans="2:19" x14ac:dyDescent="0.25">
      <c r="E102" s="60" t="s">
        <v>316</v>
      </c>
      <c r="F102" s="60">
        <f>'Datos Prestador'!J195*$C$114</f>
        <v>0</v>
      </c>
      <c r="G102" s="60">
        <f>'Datos Prestador'!M195</f>
        <v>0</v>
      </c>
      <c r="H102" s="60">
        <f t="shared" si="2"/>
        <v>0</v>
      </c>
      <c r="I102" s="1190">
        <f>+IF(F102&gt;0,PMT($C$34,IF('Datos Prestador'!$O$145="",'Datos Prestador'!$P$145,'Datos Prestador'!$O$145)*12,-'C.PrestadorRef'!H102),0)</f>
        <v>0</v>
      </c>
      <c r="J102" s="1190"/>
      <c r="K102" s="1190"/>
      <c r="M102" t="b">
        <f>+'C.Prestador'!M102</f>
        <v>0</v>
      </c>
      <c r="N102" t="b">
        <f>+'C.Prestador'!N102</f>
        <v>0</v>
      </c>
      <c r="O102" t="b">
        <f>+'C.Prestador'!O102</f>
        <v>1</v>
      </c>
      <c r="Q102" s="2">
        <f>+IF(M102=TRUE,$I102,0)</f>
        <v>0</v>
      </c>
      <c r="R102" s="2">
        <f>+IF(N102=TRUE,$I102,0)</f>
        <v>0</v>
      </c>
      <c r="S102" s="2">
        <f>+IF(O102=TRUE,$I102,0)</f>
        <v>0</v>
      </c>
    </row>
    <row r="103" spans="2:19" x14ac:dyDescent="0.25">
      <c r="B103" s="27" t="s">
        <v>156</v>
      </c>
      <c r="C103" s="27"/>
      <c r="E103" s="61" t="s">
        <v>171</v>
      </c>
      <c r="F103" s="61">
        <f>'Datos Prestador'!J196*$C$114</f>
        <v>0</v>
      </c>
      <c r="G103" s="61">
        <f>'Datos Prestador'!M196</f>
        <v>0</v>
      </c>
      <c r="H103" s="61">
        <f t="shared" si="2"/>
        <v>0</v>
      </c>
      <c r="I103" s="1199">
        <f>+IF(F103&gt;0,PMT($C$34,IF('Datos Prestador'!$O$145="",'Datos Prestador'!$P$145,'Datos Prestador'!$O$145)*12,-'C.PrestadorRef'!H103),0)</f>
        <v>0</v>
      </c>
      <c r="J103" s="1199"/>
      <c r="K103" s="1199"/>
      <c r="M103" t="b">
        <f>+'C.Prestador'!M103</f>
        <v>0</v>
      </c>
      <c r="N103" t="b">
        <f>+'C.Prestador'!N103</f>
        <v>0</v>
      </c>
      <c r="O103" t="b">
        <f>+'C.Prestador'!O103</f>
        <v>1</v>
      </c>
      <c r="Q103" s="2">
        <f t="shared" ref="Q103:S126" si="3">+IF(M103=TRUE,$I103,0)</f>
        <v>0</v>
      </c>
      <c r="R103" s="2">
        <f>+IF(N103=TRUE,$I103,0)</f>
        <v>0</v>
      </c>
      <c r="S103" s="2">
        <f>+IF(O103=TRUE,$I103,0)</f>
        <v>0</v>
      </c>
    </row>
    <row r="104" spans="2:19" x14ac:dyDescent="0.25">
      <c r="B104" s="27" t="s">
        <v>157</v>
      </c>
      <c r="C104" s="27" t="b">
        <f>+'C.Prestador'!C104</f>
        <v>1</v>
      </c>
      <c r="E104" s="60" t="s">
        <v>317</v>
      </c>
      <c r="F104" s="60">
        <f>'Datos Prestador'!J197*$C$114</f>
        <v>0</v>
      </c>
      <c r="G104" s="60">
        <f>'Datos Prestador'!M197</f>
        <v>0</v>
      </c>
      <c r="H104" s="60">
        <f t="shared" si="2"/>
        <v>0</v>
      </c>
      <c r="I104" s="1190">
        <f>+IF(F104&gt;0,PMT($C$34,IF('Datos Prestador'!$O$145="",'Datos Prestador'!$P$145,'Datos Prestador'!$O$145)*12,-'C.PrestadorRef'!H104),0)</f>
        <v>0</v>
      </c>
      <c r="J104" s="1190"/>
      <c r="K104" s="1190"/>
      <c r="P104" s="27"/>
      <c r="Q104" s="28"/>
      <c r="R104" s="27"/>
      <c r="S104" s="27"/>
    </row>
    <row r="105" spans="2:19" x14ac:dyDescent="0.25">
      <c r="B105" s="27" t="s">
        <v>158</v>
      </c>
      <c r="C105" s="27" t="b">
        <f>+'C.Prestador'!C105</f>
        <v>0</v>
      </c>
      <c r="E105" s="61" t="s">
        <v>173</v>
      </c>
      <c r="F105" s="61">
        <f>'Datos Prestador'!J198*$C$114</f>
        <v>0</v>
      </c>
      <c r="G105" s="61">
        <f>'Datos Prestador'!M198</f>
        <v>0</v>
      </c>
      <c r="H105" s="61">
        <f t="shared" si="2"/>
        <v>0</v>
      </c>
      <c r="I105" s="1199">
        <f>+IF(F105&gt;0,PMT($C$34,IF('Datos Prestador'!$O$145="",'Datos Prestador'!$P$145,'Datos Prestador'!$O$145)*12,-'C.PrestadorRef'!H105),0)</f>
        <v>0</v>
      </c>
      <c r="J105" s="1199"/>
      <c r="K105" s="1199"/>
      <c r="M105" t="b">
        <f>+'C.Prestador'!M105</f>
        <v>0</v>
      </c>
      <c r="N105" t="b">
        <f>+'C.Prestador'!N105</f>
        <v>0</v>
      </c>
      <c r="O105" t="b">
        <f>+'C.Prestador'!O105</f>
        <v>1</v>
      </c>
      <c r="Q105" s="2">
        <f t="shared" si="3"/>
        <v>0</v>
      </c>
      <c r="R105" s="2">
        <f t="shared" si="3"/>
        <v>0</v>
      </c>
      <c r="S105" s="2">
        <f t="shared" si="3"/>
        <v>0</v>
      </c>
    </row>
    <row r="106" spans="2:19" x14ac:dyDescent="0.25">
      <c r="B106" s="27"/>
      <c r="C106" s="27"/>
      <c r="E106" s="60" t="s">
        <v>175</v>
      </c>
      <c r="F106" s="60">
        <f>'Datos Prestador'!J199*$C$114</f>
        <v>0</v>
      </c>
      <c r="G106" s="60">
        <f>'Datos Prestador'!M199</f>
        <v>0</v>
      </c>
      <c r="H106" s="60">
        <f t="shared" si="2"/>
        <v>0</v>
      </c>
      <c r="I106" s="1190">
        <f>+IF(F106&gt;0,PMT($C$34,IF('Datos Prestador'!$O$145="",'Datos Prestador'!$P$145,'Datos Prestador'!$O$145)*12,-'C.PrestadorRef'!H106),0)</f>
        <v>0</v>
      </c>
      <c r="J106" s="1190"/>
      <c r="K106" s="1190"/>
      <c r="M106" t="b">
        <f>+'C.Prestador'!M106</f>
        <v>0</v>
      </c>
      <c r="N106" t="b">
        <f>+'C.Prestador'!N106</f>
        <v>0</v>
      </c>
      <c r="O106" t="b">
        <f>+'C.Prestador'!O106</f>
        <v>1</v>
      </c>
      <c r="Q106" s="2">
        <f t="shared" si="3"/>
        <v>0</v>
      </c>
      <c r="R106" s="2">
        <f t="shared" si="3"/>
        <v>0</v>
      </c>
      <c r="S106" s="2">
        <f t="shared" si="3"/>
        <v>0</v>
      </c>
    </row>
    <row r="107" spans="2:19" x14ac:dyDescent="0.25">
      <c r="E107" s="61" t="s">
        <v>176</v>
      </c>
      <c r="F107" s="61">
        <f>'Datos Prestador'!J200*$C$114</f>
        <v>0</v>
      </c>
      <c r="G107" s="61">
        <f>'Datos Prestador'!M200</f>
        <v>0</v>
      </c>
      <c r="H107" s="61">
        <f t="shared" si="2"/>
        <v>0</v>
      </c>
      <c r="I107" s="1199">
        <f>+IF(F107&gt;0,PMT($C$34,IF('Datos Prestador'!$O$145="",'Datos Prestador'!$P$145,'Datos Prestador'!$O$145)*12,-'C.PrestadorRef'!H107),0)</f>
        <v>0</v>
      </c>
      <c r="J107" s="1199"/>
      <c r="K107" s="1199"/>
      <c r="M107" t="b">
        <f>+'C.Prestador'!M107</f>
        <v>0</v>
      </c>
      <c r="N107" t="b">
        <f>+'C.Prestador'!N107</f>
        <v>0</v>
      </c>
      <c r="O107" t="b">
        <f>+'C.Prestador'!O107</f>
        <v>1</v>
      </c>
      <c r="Q107" s="2">
        <f t="shared" si="3"/>
        <v>0</v>
      </c>
      <c r="R107" s="2">
        <f t="shared" si="3"/>
        <v>0</v>
      </c>
      <c r="S107" s="2">
        <f t="shared" si="3"/>
        <v>0</v>
      </c>
    </row>
    <row r="108" spans="2:19" x14ac:dyDescent="0.25">
      <c r="E108" s="60" t="s">
        <v>177</v>
      </c>
      <c r="F108" s="60">
        <f>'Datos Prestador'!J201*$C$114</f>
        <v>0</v>
      </c>
      <c r="G108" s="60">
        <f>'Datos Prestador'!M201</f>
        <v>0</v>
      </c>
      <c r="H108" s="60">
        <f t="shared" si="2"/>
        <v>0</v>
      </c>
      <c r="I108" s="1190">
        <f>+IF(F108&gt;0,PMT($C$34,IF('Datos Prestador'!$O$145="",'Datos Prestador'!$P$145,'Datos Prestador'!$O$145)*12,-'C.PrestadorRef'!H108),0)</f>
        <v>0</v>
      </c>
      <c r="J108" s="1190"/>
      <c r="K108" s="1190"/>
      <c r="M108" t="b">
        <f>+'C.Prestador'!M108</f>
        <v>0</v>
      </c>
      <c r="N108" t="b">
        <f>+'C.Prestador'!N108</f>
        <v>0</v>
      </c>
      <c r="O108" t="b">
        <f>+'C.Prestador'!O108</f>
        <v>1</v>
      </c>
      <c r="Q108" s="2">
        <f t="shared" si="3"/>
        <v>0</v>
      </c>
      <c r="R108" s="2">
        <f t="shared" si="3"/>
        <v>0</v>
      </c>
      <c r="S108" s="2">
        <f t="shared" si="3"/>
        <v>0</v>
      </c>
    </row>
    <row r="109" spans="2:19" x14ac:dyDescent="0.25">
      <c r="B109" s="27" t="str">
        <f>B19</f>
        <v>TON/AÑO</v>
      </c>
      <c r="C109" s="28">
        <f>C19</f>
        <v>0</v>
      </c>
      <c r="E109" s="61" t="s">
        <v>178</v>
      </c>
      <c r="F109" s="61">
        <f>'Datos Prestador'!J202*$C$114</f>
        <v>0</v>
      </c>
      <c r="G109" s="61">
        <f>'Datos Prestador'!M202</f>
        <v>0</v>
      </c>
      <c r="H109" s="61">
        <f t="shared" si="2"/>
        <v>0</v>
      </c>
      <c r="I109" s="1199">
        <f>+IF(F109&gt;0,PMT($C$34,IF('Datos Prestador'!$O$145="",'Datos Prestador'!$P$145,'Datos Prestador'!$O$145)*12,-'C.PrestadorRef'!H109),0)</f>
        <v>0</v>
      </c>
      <c r="J109" s="1199"/>
      <c r="K109" s="1199"/>
      <c r="M109" t="b">
        <f>+'C.Prestador'!M109</f>
        <v>0</v>
      </c>
      <c r="N109" t="b">
        <f>+'C.Prestador'!N109</f>
        <v>0</v>
      </c>
      <c r="O109" t="b">
        <f>+'C.Prestador'!O109</f>
        <v>1</v>
      </c>
      <c r="Q109" s="2">
        <f t="shared" si="3"/>
        <v>0</v>
      </c>
      <c r="R109" s="2">
        <f t="shared" si="3"/>
        <v>0</v>
      </c>
      <c r="S109" s="2">
        <f t="shared" si="3"/>
        <v>0</v>
      </c>
    </row>
    <row r="110" spans="2:19" x14ac:dyDescent="0.25">
      <c r="B110" s="27" t="str">
        <f>B20</f>
        <v>TON/MES</v>
      </c>
      <c r="C110" s="28">
        <f>C20</f>
        <v>0</v>
      </c>
      <c r="E110" s="60" t="s">
        <v>179</v>
      </c>
      <c r="F110" s="60">
        <f>'Datos Prestador'!J203*$C$114</f>
        <v>0</v>
      </c>
      <c r="G110" s="60">
        <f>'Datos Prestador'!M203</f>
        <v>0</v>
      </c>
      <c r="H110" s="60">
        <f t="shared" si="2"/>
        <v>0</v>
      </c>
      <c r="I110" s="1190">
        <f>+IF(F110&gt;0,PMT($C$34,IF('Datos Prestador'!$O$145="",'Datos Prestador'!$P$145,'Datos Prestador'!$O$145)*12,-'C.PrestadorRef'!H110),0)</f>
        <v>0</v>
      </c>
      <c r="J110" s="1190"/>
      <c r="K110" s="1190"/>
      <c r="M110" t="b">
        <f>+'C.Prestador'!M110</f>
        <v>0</v>
      </c>
      <c r="N110" t="b">
        <f>+'C.Prestador'!N110</f>
        <v>0</v>
      </c>
      <c r="O110" t="b">
        <f>+'C.Prestador'!O110</f>
        <v>1</v>
      </c>
      <c r="Q110" s="2">
        <f t="shared" si="3"/>
        <v>0</v>
      </c>
      <c r="R110" s="2">
        <f t="shared" si="3"/>
        <v>0</v>
      </c>
      <c r="S110" s="2">
        <f t="shared" si="3"/>
        <v>0</v>
      </c>
    </row>
    <row r="111" spans="2:19" x14ac:dyDescent="0.25">
      <c r="B111" s="27" t="s">
        <v>342</v>
      </c>
      <c r="C111" s="28">
        <f>+ptmes/(IF('Datos Prestador'!O157="",'Datos Prestador'!P157,'Datos Prestador'!O157)*IF('Datos Prestador'!O158="",'Datos Prestador'!P158,'Datos Prestador'!O158)*IF('Datos Prestador'!O159="",'Datos Prestador'!P159,'Datos Prestador'!O159))</f>
        <v>0</v>
      </c>
      <c r="E111" s="61" t="s">
        <v>318</v>
      </c>
      <c r="F111" s="61">
        <f>'Datos Prestador'!J204*$C$114</f>
        <v>0</v>
      </c>
      <c r="G111" s="61">
        <f>'Datos Prestador'!M204</f>
        <v>0</v>
      </c>
      <c r="H111" s="61">
        <f t="shared" si="2"/>
        <v>0</v>
      </c>
      <c r="I111" s="1199">
        <f>+IF(F111&gt;0,PMT($C$34,IF('Datos Prestador'!$O$145="",'Datos Prestador'!$P$145,'Datos Prestador'!$O$145)*12,-'C.PrestadorRef'!H111),0)</f>
        <v>0</v>
      </c>
      <c r="J111" s="1199"/>
      <c r="K111" s="1199"/>
      <c r="M111" t="b">
        <f>+'C.Prestador'!M111</f>
        <v>0</v>
      </c>
      <c r="N111" t="b">
        <f>+'C.Prestador'!N111</f>
        <v>0</v>
      </c>
      <c r="O111" t="b">
        <f>+'C.Prestador'!O111</f>
        <v>1</v>
      </c>
      <c r="Q111" s="2">
        <f t="shared" si="3"/>
        <v>0</v>
      </c>
      <c r="R111" s="2">
        <f t="shared" si="3"/>
        <v>0</v>
      </c>
      <c r="S111" s="2">
        <f t="shared" si="3"/>
        <v>0</v>
      </c>
    </row>
    <row r="112" spans="2:19" x14ac:dyDescent="0.25">
      <c r="E112" s="60" t="s">
        <v>319</v>
      </c>
      <c r="F112" s="60">
        <f>'Datos Prestador'!J205*$C$114</f>
        <v>0</v>
      </c>
      <c r="G112" s="60">
        <f>'Datos Prestador'!M205</f>
        <v>0</v>
      </c>
      <c r="H112" s="60">
        <f t="shared" si="2"/>
        <v>0</v>
      </c>
      <c r="I112" s="1190">
        <f>+IF(F112&gt;0,PMT($C$34,IF('Datos Prestador'!$O$145="",'Datos Prestador'!$P$145,'Datos Prestador'!$O$145)*12,-'C.PrestadorRef'!H112),0)</f>
        <v>0</v>
      </c>
      <c r="J112" s="1190"/>
      <c r="K112" s="1190"/>
      <c r="M112" t="b">
        <f>+'C.Prestador'!M112</f>
        <v>0</v>
      </c>
      <c r="N112" t="b">
        <f>+'C.Prestador'!N112</f>
        <v>0</v>
      </c>
      <c r="O112" t="b">
        <f>+'C.Prestador'!O112</f>
        <v>1</v>
      </c>
      <c r="Q112" s="2">
        <f t="shared" si="3"/>
        <v>0</v>
      </c>
      <c r="R112" s="2">
        <f t="shared" si="3"/>
        <v>0</v>
      </c>
      <c r="S112" s="2">
        <f t="shared" si="3"/>
        <v>0</v>
      </c>
    </row>
    <row r="113" spans="2:19" x14ac:dyDescent="0.25">
      <c r="B113" s="27" t="s">
        <v>677</v>
      </c>
      <c r="C113" s="28">
        <f>+IF(Tamaño2=TRUE,'Datos Prestador'!I147,'Datos Prestador'!G148)</f>
        <v>0</v>
      </c>
      <c r="E113" s="61" t="s">
        <v>183</v>
      </c>
      <c r="F113" s="61">
        <f>'Datos Prestador'!J206*$C$114</f>
        <v>0</v>
      </c>
      <c r="G113" s="61">
        <f>'Datos Prestador'!M206</f>
        <v>0</v>
      </c>
      <c r="H113" s="61">
        <f t="shared" si="2"/>
        <v>0</v>
      </c>
      <c r="I113" s="1199">
        <f>+IF(F113&gt;0,PMT($C$34,IF('Datos Prestador'!$O$145="",'Datos Prestador'!$P$145,'Datos Prestador'!$O$145)*12,-'C.PrestadorRef'!H113),0)</f>
        <v>0</v>
      </c>
      <c r="J113" s="1199"/>
      <c r="K113" s="1199"/>
      <c r="M113" t="b">
        <f>+'C.Prestador'!M113</f>
        <v>0</v>
      </c>
      <c r="N113" t="b">
        <f>+'C.Prestador'!N113</f>
        <v>0</v>
      </c>
      <c r="O113" t="b">
        <f>+'C.Prestador'!O113</f>
        <v>1</v>
      </c>
      <c r="Q113" s="2">
        <f t="shared" si="3"/>
        <v>0</v>
      </c>
      <c r="R113" s="2">
        <f t="shared" si="3"/>
        <v>0</v>
      </c>
      <c r="S113" s="2">
        <f t="shared" si="3"/>
        <v>0</v>
      </c>
    </row>
    <row r="114" spans="2:19" x14ac:dyDescent="0.25">
      <c r="B114" s="27" t="s">
        <v>353</v>
      </c>
      <c r="C114" s="28">
        <f>+IF(C99=FALSE,'Datos Prestador'!G147,'Datos Prestador'!I148)</f>
        <v>0</v>
      </c>
      <c r="E114" s="60" t="s">
        <v>184</v>
      </c>
      <c r="F114" s="60">
        <f>'Datos Prestador'!J207*$C$114</f>
        <v>0</v>
      </c>
      <c r="G114" s="60">
        <f>'Datos Prestador'!M207</f>
        <v>0</v>
      </c>
      <c r="H114" s="60">
        <f t="shared" si="2"/>
        <v>0</v>
      </c>
      <c r="I114" s="1190">
        <f>+IF(F114&gt;0,PMT($C$34,IF('Datos Prestador'!$O$145="",'Datos Prestador'!$P$145,'Datos Prestador'!$O$145)*12,-'C.PrestadorRef'!H114),0)</f>
        <v>0</v>
      </c>
      <c r="J114" s="1190"/>
      <c r="K114" s="1190"/>
      <c r="M114" t="b">
        <f>+'C.Prestador'!M114</f>
        <v>0</v>
      </c>
      <c r="N114" t="b">
        <f>+'C.Prestador'!N114</f>
        <v>0</v>
      </c>
      <c r="O114" t="b">
        <f>+'C.Prestador'!O114</f>
        <v>1</v>
      </c>
      <c r="Q114" s="2">
        <f t="shared" si="3"/>
        <v>0</v>
      </c>
      <c r="R114" s="2">
        <f t="shared" si="3"/>
        <v>0</v>
      </c>
      <c r="S114" s="2">
        <f t="shared" si="3"/>
        <v>0</v>
      </c>
    </row>
    <row r="115" spans="2:19" x14ac:dyDescent="0.25">
      <c r="B115" s="27" t="s">
        <v>301</v>
      </c>
      <c r="C115" s="28">
        <f>+'Datos Prestador'!G149</f>
        <v>0</v>
      </c>
      <c r="E115" s="61" t="s">
        <v>185</v>
      </c>
      <c r="F115" s="61">
        <f>'Datos Prestador'!J208*$C$114</f>
        <v>0</v>
      </c>
      <c r="G115" s="61">
        <f>'Datos Prestador'!M208</f>
        <v>0</v>
      </c>
      <c r="H115" s="61">
        <f t="shared" si="2"/>
        <v>0</v>
      </c>
      <c r="I115" s="1199">
        <f>+IF(F115&gt;0,PMT($C$34,IF('Datos Prestador'!$O$145="",'Datos Prestador'!$P$145,'Datos Prestador'!$O$145)*12,-'C.PrestadorRef'!H115),0)</f>
        <v>0</v>
      </c>
      <c r="J115" s="1199"/>
      <c r="K115" s="1199"/>
      <c r="M115" t="b">
        <f>+'C.Prestador'!M115</f>
        <v>0</v>
      </c>
      <c r="N115" t="b">
        <f>+'C.Prestador'!N115</f>
        <v>0</v>
      </c>
      <c r="O115" t="b">
        <f>+'C.Prestador'!O115</f>
        <v>1</v>
      </c>
      <c r="Q115" s="2">
        <f t="shared" si="3"/>
        <v>0</v>
      </c>
      <c r="R115" s="2">
        <f t="shared" si="3"/>
        <v>0</v>
      </c>
      <c r="S115" s="2">
        <f t="shared" si="3"/>
        <v>0</v>
      </c>
    </row>
    <row r="116" spans="2:19" x14ac:dyDescent="0.25">
      <c r="B116" s="27" t="s">
        <v>148</v>
      </c>
      <c r="C116" s="28">
        <f>+C114*C113-C115</f>
        <v>0</v>
      </c>
      <c r="E116" s="60" t="s">
        <v>186</v>
      </c>
      <c r="F116" s="60">
        <f>'Datos Prestador'!J209*$C$114</f>
        <v>0</v>
      </c>
      <c r="G116" s="60">
        <f>'Datos Prestador'!M209</f>
        <v>0</v>
      </c>
      <c r="H116" s="60">
        <f t="shared" si="2"/>
        <v>0</v>
      </c>
      <c r="I116" s="1190">
        <f>+IF(F116&gt;0,PMT($C$34,IF('Datos Prestador'!$O$145="",'Datos Prestador'!$P$145,'Datos Prestador'!$O$145)*12,-'C.PrestadorRef'!H116),0)</f>
        <v>0</v>
      </c>
      <c r="J116" s="1190"/>
      <c r="K116" s="1190"/>
      <c r="M116" t="b">
        <f>+'C.Prestador'!M116</f>
        <v>0</v>
      </c>
      <c r="N116" t="b">
        <f>+'C.Prestador'!N116</f>
        <v>0</v>
      </c>
      <c r="O116" t="b">
        <f>+'C.Prestador'!O116</f>
        <v>1</v>
      </c>
      <c r="Q116" s="2">
        <f t="shared" si="3"/>
        <v>0</v>
      </c>
      <c r="R116" s="2">
        <f t="shared" si="3"/>
        <v>0</v>
      </c>
      <c r="S116" s="2">
        <f t="shared" si="3"/>
        <v>0</v>
      </c>
    </row>
    <row r="117" spans="2:19" x14ac:dyDescent="0.25">
      <c r="B117" s="27" t="s">
        <v>305</v>
      </c>
      <c r="C117" s="28" t="e">
        <f>+ptmes/C114</f>
        <v>#DIV/0!</v>
      </c>
      <c r="E117" s="61" t="s">
        <v>320</v>
      </c>
      <c r="F117" s="61">
        <f>'Datos Prestador'!J211*$C$114</f>
        <v>0</v>
      </c>
      <c r="G117" s="61">
        <f>'Datos Prestador'!M211</f>
        <v>0</v>
      </c>
      <c r="H117" s="61">
        <f t="shared" si="2"/>
        <v>0</v>
      </c>
      <c r="I117" s="1199">
        <f>+IF(F117&gt;0,PMT($C$34,IF('Datos Prestador'!$O$145="",'Datos Prestador'!$P$145,'Datos Prestador'!$O$145)*12,-'C.PrestadorRef'!H117),0)</f>
        <v>0</v>
      </c>
      <c r="J117" s="1199"/>
      <c r="K117" s="1199"/>
      <c r="M117" t="b">
        <f>+'C.Prestador'!M117</f>
        <v>0</v>
      </c>
      <c r="N117" t="b">
        <f>+'C.Prestador'!N117</f>
        <v>0</v>
      </c>
      <c r="O117" t="b">
        <f>+'C.Prestador'!O117</f>
        <v>1</v>
      </c>
      <c r="Q117" s="2">
        <f t="shared" si="3"/>
        <v>0</v>
      </c>
      <c r="R117" s="2">
        <f t="shared" si="3"/>
        <v>0</v>
      </c>
      <c r="S117" s="2">
        <f t="shared" si="3"/>
        <v>0</v>
      </c>
    </row>
    <row r="118" spans="2:19" x14ac:dyDescent="0.25">
      <c r="B118" s="27" t="s">
        <v>352</v>
      </c>
      <c r="C118" s="28" t="e">
        <f>+C117/(IF('Datos Prestador'!O157="",'Datos Prestador'!P157,'Datos Prestador'!O157)*IF('Datos Prestador'!O158="",'Datos Prestador'!P158,'Datos Prestador'!O158)*IF('Datos Prestador'!O159="",'Datos Prestador'!P159,'Datos Prestador'!O159))</f>
        <v>#DIV/0!</v>
      </c>
      <c r="E118" s="60" t="s">
        <v>321</v>
      </c>
      <c r="F118" s="60">
        <f>'Datos Prestador'!J212*$C$114</f>
        <v>0</v>
      </c>
      <c r="G118" s="60">
        <f>'Datos Prestador'!M212</f>
        <v>0</v>
      </c>
      <c r="H118" s="60">
        <f t="shared" si="2"/>
        <v>0</v>
      </c>
      <c r="I118" s="1190">
        <f>+IF(F118&gt;0,PMT($C$34,IF('Datos Prestador'!$O$145="",'Datos Prestador'!$P$145,'Datos Prestador'!$O$145)*12,-'C.PrestadorRef'!H118),0)</f>
        <v>0</v>
      </c>
      <c r="J118" s="1190"/>
      <c r="K118" s="1190"/>
      <c r="M118" t="b">
        <f>+'C.Prestador'!M118</f>
        <v>0</v>
      </c>
      <c r="N118" t="b">
        <f>+'C.Prestador'!N118</f>
        <v>0</v>
      </c>
      <c r="O118" t="b">
        <f>+'C.Prestador'!O118</f>
        <v>1</v>
      </c>
      <c r="Q118" s="2">
        <f t="shared" si="3"/>
        <v>0</v>
      </c>
      <c r="R118" s="2">
        <f t="shared" si="3"/>
        <v>0</v>
      </c>
      <c r="S118" s="2">
        <f t="shared" si="3"/>
        <v>0</v>
      </c>
    </row>
    <row r="119" spans="2:19" x14ac:dyDescent="0.25">
      <c r="E119" s="61" t="s">
        <v>189</v>
      </c>
      <c r="F119" s="61">
        <f>'Datos Prestador'!J213*$C$114</f>
        <v>0</v>
      </c>
      <c r="G119" s="61">
        <f>'Datos Prestador'!M213</f>
        <v>0</v>
      </c>
      <c r="H119" s="61">
        <f t="shared" si="2"/>
        <v>0</v>
      </c>
      <c r="I119" s="1199">
        <f>+IF(F119&gt;0,PMT($C$34,IF('Datos Prestador'!$O$145="",'Datos Prestador'!$P$145,'Datos Prestador'!$O$145)*12,-'C.PrestadorRef'!H119),0)</f>
        <v>0</v>
      </c>
      <c r="J119" s="1199"/>
      <c r="K119" s="1199"/>
      <c r="M119" t="b">
        <f>+'C.Prestador'!M119</f>
        <v>0</v>
      </c>
      <c r="N119" t="b">
        <f>+'C.Prestador'!N119</f>
        <v>0</v>
      </c>
      <c r="O119" t="b">
        <f>+'C.Prestador'!O119</f>
        <v>1</v>
      </c>
      <c r="Q119" s="2">
        <f t="shared" si="3"/>
        <v>0</v>
      </c>
      <c r="R119" s="2">
        <f t="shared" si="3"/>
        <v>0</v>
      </c>
      <c r="S119" s="2">
        <f t="shared" si="3"/>
        <v>0</v>
      </c>
    </row>
    <row r="120" spans="2:19" x14ac:dyDescent="0.25">
      <c r="B120" s="27" t="s">
        <v>86</v>
      </c>
      <c r="C120" s="27" t="str">
        <f>+CONCATENATE("Cantidad"," ",IF('C.PrestadorRef'!C113&lt;1560,"pequeño",IF('C.PrestadorRef'!C113&lt;15000,"mediano","grande")))</f>
        <v>Cantidad pequeño</v>
      </c>
      <c r="E120" s="60" t="s">
        <v>190</v>
      </c>
      <c r="F120" s="60">
        <f>'Datos Prestador'!J214*$C$114</f>
        <v>0</v>
      </c>
      <c r="G120" s="60">
        <f>'Datos Prestador'!M214</f>
        <v>0</v>
      </c>
      <c r="H120" s="60">
        <f t="shared" si="2"/>
        <v>0</v>
      </c>
      <c r="I120" s="1190">
        <f>+IF(F120&gt;0,PMT($C$34,IF('Datos Prestador'!$O$145="",'Datos Prestador'!$P$145,'Datos Prestador'!$O$145)*12,-'C.PrestadorRef'!H120),0)</f>
        <v>0</v>
      </c>
      <c r="J120" s="1190"/>
      <c r="K120" s="1190"/>
      <c r="M120" t="b">
        <f>+'C.Prestador'!M120</f>
        <v>0</v>
      </c>
      <c r="N120" t="b">
        <f>+'C.Prestador'!N120</f>
        <v>0</v>
      </c>
      <c r="O120" t="b">
        <f>+'C.Prestador'!O120</f>
        <v>1</v>
      </c>
      <c r="Q120" s="2">
        <f t="shared" si="3"/>
        <v>0</v>
      </c>
      <c r="R120" s="2">
        <f t="shared" si="3"/>
        <v>0</v>
      </c>
      <c r="S120" s="2">
        <f t="shared" si="3"/>
        <v>0</v>
      </c>
    </row>
    <row r="121" spans="2:19" x14ac:dyDescent="0.25">
      <c r="B121" s="27"/>
      <c r="C121" s="27" t="str">
        <f>+CONCATENATE('Datos Generales'!K11," ","unitario"," ",IF('C.PrestadorRef'!C113&lt;1560,"pequeño",IF('C.PrestadorRef'!C113&lt;15000,"mediano","grande")))</f>
        <v>Selecccione unitario pequeño</v>
      </c>
      <c r="E121" s="61" t="s">
        <v>192</v>
      </c>
      <c r="F121" s="61">
        <f>'Datos Prestador'!J215*$C$114</f>
        <v>0</v>
      </c>
      <c r="G121" s="61">
        <f>'Datos Prestador'!M215</f>
        <v>0</v>
      </c>
      <c r="H121" s="61">
        <f t="shared" si="2"/>
        <v>0</v>
      </c>
      <c r="I121" s="1199">
        <f>+IF(F121&gt;0,PMT($C$34,IF('Datos Prestador'!$O$145="",'Datos Prestador'!$P$145,'Datos Prestador'!$O$145)*12,-'C.PrestadorRef'!H121),0)</f>
        <v>0</v>
      </c>
      <c r="J121" s="1199"/>
      <c r="K121" s="1199"/>
      <c r="M121" t="b">
        <f>+'C.Prestador'!M121</f>
        <v>0</v>
      </c>
      <c r="N121" t="b">
        <f>+'C.Prestador'!N121</f>
        <v>0</v>
      </c>
      <c r="O121" t="b">
        <f>+'C.Prestador'!O121</f>
        <v>1</v>
      </c>
      <c r="Q121" s="2">
        <f t="shared" si="3"/>
        <v>0</v>
      </c>
      <c r="R121" s="2">
        <f t="shared" si="3"/>
        <v>0</v>
      </c>
      <c r="S121" s="2">
        <f t="shared" si="3"/>
        <v>0</v>
      </c>
    </row>
    <row r="122" spans="2:19" x14ac:dyDescent="0.25">
      <c r="B122" s="27"/>
      <c r="C122" s="27" t="str">
        <f>+CONCATENATE('Datos Generales'!K11," ","total"," ",IF('C.PrestadorRef'!C113&lt;1560,"pequeño",IF('C.PrestadorRef'!C113&lt;15000,"mediano","grande")))</f>
        <v>Selecccione total pequeño</v>
      </c>
      <c r="E122" s="60" t="s">
        <v>193</v>
      </c>
      <c r="F122" s="60">
        <f>'Datos Prestador'!J216*$C$114</f>
        <v>0</v>
      </c>
      <c r="G122" s="60">
        <f>'Datos Prestador'!M216</f>
        <v>0</v>
      </c>
      <c r="H122" s="60">
        <f t="shared" si="2"/>
        <v>0</v>
      </c>
      <c r="I122" s="1190">
        <f>+IF(F122&gt;0,PMT($C$34,IF('Datos Prestador'!$O$145="",'Datos Prestador'!$P$145,'Datos Prestador'!$O$145)*12,-'C.PrestadorRef'!H122),0)</f>
        <v>0</v>
      </c>
      <c r="J122" s="1190"/>
      <c r="K122" s="1190"/>
      <c r="M122" t="b">
        <f>+'C.Prestador'!M122</f>
        <v>0</v>
      </c>
      <c r="N122" t="b">
        <f>+'C.Prestador'!N122</f>
        <v>0</v>
      </c>
      <c r="O122" t="b">
        <f>+'C.Prestador'!O122</f>
        <v>1</v>
      </c>
      <c r="Q122" s="2">
        <f t="shared" si="3"/>
        <v>0</v>
      </c>
      <c r="R122" s="2">
        <f t="shared" si="3"/>
        <v>0</v>
      </c>
      <c r="S122" s="2">
        <f t="shared" si="3"/>
        <v>0</v>
      </c>
    </row>
    <row r="123" spans="2:19" x14ac:dyDescent="0.25">
      <c r="E123" s="61" t="s">
        <v>322</v>
      </c>
      <c r="F123" s="61">
        <f>'Datos Prestador'!J217*$C$114</f>
        <v>0</v>
      </c>
      <c r="G123" s="61">
        <f>'Datos Prestador'!M217</f>
        <v>0</v>
      </c>
      <c r="H123" s="61">
        <f t="shared" si="2"/>
        <v>0</v>
      </c>
      <c r="I123" s="1199">
        <f>+IF(F123&gt;0,PMT($C$34,IF('Datos Prestador'!$O$145="",'Datos Prestador'!$P$145,'Datos Prestador'!$O$145)*12,-'C.PrestadorRef'!H123),0)</f>
        <v>0</v>
      </c>
      <c r="J123" s="1199"/>
      <c r="K123" s="1199"/>
      <c r="M123" t="b">
        <f>+'C.Prestador'!M123</f>
        <v>0</v>
      </c>
      <c r="N123" t="b">
        <f>+'C.Prestador'!N123</f>
        <v>0</v>
      </c>
      <c r="O123" t="b">
        <f>+'C.Prestador'!O123</f>
        <v>1</v>
      </c>
      <c r="Q123" s="2">
        <f>+IF(M123=TRUE,$I123,0)</f>
        <v>0</v>
      </c>
      <c r="R123" s="2">
        <f t="shared" si="3"/>
        <v>0</v>
      </c>
      <c r="S123" s="2">
        <f t="shared" si="3"/>
        <v>0</v>
      </c>
    </row>
    <row r="124" spans="2:19" x14ac:dyDescent="0.25">
      <c r="E124" s="60" t="s">
        <v>195</v>
      </c>
      <c r="F124" s="60">
        <f>'Datos Prestador'!J218*$C$114</f>
        <v>0</v>
      </c>
      <c r="G124" s="60">
        <f>'Datos Prestador'!M218</f>
        <v>0</v>
      </c>
      <c r="H124" s="60">
        <f t="shared" si="2"/>
        <v>0</v>
      </c>
      <c r="I124" s="1190">
        <f>+IF(F124&gt;0,PMT($C$34,IF('Datos Prestador'!$O$145="",'Datos Prestador'!$P$145,'Datos Prestador'!$O$145)*12,-'C.PrestadorRef'!H124),0)</f>
        <v>0</v>
      </c>
      <c r="J124" s="1190"/>
      <c r="K124" s="1190"/>
      <c r="M124" t="b">
        <f>+'C.Prestador'!M124</f>
        <v>0</v>
      </c>
      <c r="N124" t="b">
        <f>+'C.Prestador'!N124</f>
        <v>0</v>
      </c>
      <c r="O124" t="b">
        <f>+'C.Prestador'!O124</f>
        <v>1</v>
      </c>
      <c r="Q124" s="2">
        <f t="shared" si="3"/>
        <v>0</v>
      </c>
      <c r="R124" s="2">
        <f t="shared" si="3"/>
        <v>0</v>
      </c>
      <c r="S124" s="2">
        <f t="shared" si="3"/>
        <v>0</v>
      </c>
    </row>
    <row r="125" spans="2:19" x14ac:dyDescent="0.25">
      <c r="E125" s="61" t="s">
        <v>196</v>
      </c>
      <c r="F125" s="61">
        <f>'Datos Prestador'!J219*$C$114</f>
        <v>0</v>
      </c>
      <c r="G125" s="61">
        <f>'Datos Prestador'!M219</f>
        <v>0</v>
      </c>
      <c r="H125" s="61">
        <f t="shared" si="2"/>
        <v>0</v>
      </c>
      <c r="I125" s="1199">
        <f>+IF(F125&gt;0,PMT($C$34,IF('Datos Prestador'!$O$145="",'Datos Prestador'!$P$145,'Datos Prestador'!$O$145)*12,-'C.PrestadorRef'!H125),0)</f>
        <v>0</v>
      </c>
      <c r="J125" s="1199"/>
      <c r="K125" s="1199"/>
      <c r="M125" t="b">
        <f>+'C.Prestador'!M125</f>
        <v>0</v>
      </c>
      <c r="N125" t="b">
        <f>+'C.Prestador'!N125</f>
        <v>0</v>
      </c>
      <c r="O125" t="b">
        <f>+'C.Prestador'!O125</f>
        <v>1</v>
      </c>
      <c r="Q125" s="2">
        <f t="shared" si="3"/>
        <v>0</v>
      </c>
      <c r="R125" s="2">
        <f t="shared" si="3"/>
        <v>0</v>
      </c>
      <c r="S125" s="2">
        <f t="shared" si="3"/>
        <v>0</v>
      </c>
    </row>
    <row r="126" spans="2:19" x14ac:dyDescent="0.25">
      <c r="E126" s="60" t="s">
        <v>197</v>
      </c>
      <c r="F126" s="60">
        <f>'Datos Prestador'!J220*$C$114</f>
        <v>0</v>
      </c>
      <c r="G126" s="60">
        <f>'Datos Prestador'!M220</f>
        <v>0</v>
      </c>
      <c r="H126" s="60">
        <f t="shared" si="2"/>
        <v>0</v>
      </c>
      <c r="I126" s="1190">
        <f>+IF(F126&gt;0,PMT($C$34,IF('Datos Prestador'!$O$145="",'Datos Prestador'!$P$145,'Datos Prestador'!$O$145)*12,-'C.PrestadorRef'!H126),0)</f>
        <v>0</v>
      </c>
      <c r="J126" s="1190"/>
      <c r="K126" s="1190"/>
      <c r="M126" t="b">
        <f>+'C.Prestador'!M126</f>
        <v>0</v>
      </c>
      <c r="N126" t="b">
        <f>+'C.Prestador'!N126</f>
        <v>0</v>
      </c>
      <c r="O126" t="b">
        <f>+'C.Prestador'!O126</f>
        <v>1</v>
      </c>
      <c r="Q126" s="2">
        <f t="shared" si="3"/>
        <v>0</v>
      </c>
      <c r="R126" s="2">
        <f t="shared" si="3"/>
        <v>0</v>
      </c>
      <c r="S126" s="2">
        <f t="shared" si="3"/>
        <v>0</v>
      </c>
    </row>
    <row r="127" spans="2:19" x14ac:dyDescent="0.25">
      <c r="E127" t="str">
        <f>+'Datos Prestador'!D210</f>
        <v>Embaladora automática</v>
      </c>
      <c r="F127" s="29">
        <f>'Datos Prestador'!J210*C114</f>
        <v>0</v>
      </c>
      <c r="G127">
        <f>+IF('Datos Prestador'!H210="",'Datos Prestador'!M210,'Datos Prestador'!H210)</f>
        <v>39000</v>
      </c>
      <c r="H127" s="61">
        <f t="shared" si="2"/>
        <v>0</v>
      </c>
      <c r="I127" s="1199">
        <f>+IF(F127&gt;0,PMT($C$34,IF('Datos Prestador'!$O$145="",'Datos Prestador'!$P$145,'Datos Prestador'!$O$145)*12,-'C.Prestador'!H127),0)</f>
        <v>0</v>
      </c>
      <c r="J127" s="1199"/>
      <c r="K127" s="1199"/>
      <c r="M127" t="b">
        <f>+'C.Prestador'!M127</f>
        <v>0</v>
      </c>
      <c r="N127" t="b">
        <f>+'C.Prestador'!N127</f>
        <v>0</v>
      </c>
      <c r="O127" t="b">
        <f>+'C.Prestador'!O127</f>
        <v>1</v>
      </c>
      <c r="Q127" s="2">
        <f>+IF(M127=TRUE,$I127,0)</f>
        <v>0</v>
      </c>
      <c r="R127" s="2">
        <f>+IF(N127=TRUE,$I127,0)</f>
        <v>0</v>
      </c>
      <c r="S127" s="2">
        <f>+IF(O127=TRUE,$I127,0)</f>
        <v>0</v>
      </c>
    </row>
    <row r="128" spans="2:19" x14ac:dyDescent="0.25">
      <c r="E128" s="62" t="s">
        <v>9</v>
      </c>
      <c r="H128" s="32">
        <f>+SUM(H100:H127)</f>
        <v>0</v>
      </c>
      <c r="I128" s="1198">
        <f>+SUM(I100:K127)</f>
        <v>0</v>
      </c>
      <c r="J128" s="1198"/>
      <c r="K128" s="1198"/>
      <c r="P128" s="10" t="s">
        <v>9</v>
      </c>
      <c r="Q128" s="63">
        <f>+SUM(Q100:Q127)</f>
        <v>0</v>
      </c>
      <c r="R128" s="63">
        <f>+SUM(R100:R127)</f>
        <v>0</v>
      </c>
      <c r="S128" s="63">
        <f>+SUM(S100:S127)</f>
        <v>0</v>
      </c>
    </row>
    <row r="131" spans="1:19" x14ac:dyDescent="0.25">
      <c r="A131" s="1206" t="s">
        <v>410</v>
      </c>
      <c r="B131" s="1206"/>
      <c r="C131" s="1206"/>
      <c r="E131" s="1193" t="s">
        <v>354</v>
      </c>
      <c r="F131" s="1193"/>
      <c r="G131" s="1193"/>
      <c r="H131" s="1193"/>
      <c r="I131" s="1193"/>
      <c r="J131" s="1193"/>
      <c r="K131" s="1193"/>
      <c r="L131" s="1193"/>
      <c r="M131" s="1193"/>
      <c r="N131" s="1193"/>
      <c r="O131" s="1193"/>
      <c r="P131" s="1193"/>
      <c r="Q131" s="1193"/>
      <c r="R131" s="1193"/>
      <c r="S131" s="1193"/>
    </row>
    <row r="132" spans="1:19" x14ac:dyDescent="0.25">
      <c r="A132" s="27"/>
      <c r="B132" s="27" t="s">
        <v>139</v>
      </c>
      <c r="C132" s="27" t="s">
        <v>9</v>
      </c>
    </row>
    <row r="133" spans="1:19" x14ac:dyDescent="0.25">
      <c r="A133" s="27" t="str">
        <f>+'Datos Prestador'!M275</f>
        <v>Papel</v>
      </c>
      <c r="B133" s="28">
        <f>+IF('Datos Prestador'!N275="",'Datos Prestador'!O275,'Datos Prestador'!N275)</f>
        <v>36.451251918247131</v>
      </c>
      <c r="C133" s="80">
        <f>+B133*Cálculos!G8/12</f>
        <v>0</v>
      </c>
      <c r="E133" s="75" t="s">
        <v>363</v>
      </c>
      <c r="F133" s="75" t="s">
        <v>110</v>
      </c>
      <c r="G133" s="75" t="s">
        <v>110</v>
      </c>
    </row>
    <row r="134" spans="1:19" x14ac:dyDescent="0.25">
      <c r="A134" s="27" t="str">
        <f>+'Datos Prestador'!M276</f>
        <v>Cartón</v>
      </c>
      <c r="B134" s="28">
        <f>+IF('Datos Prestador'!N276="",'Datos Prestador'!O276,'Datos Prestador'!N276)</f>
        <v>18.225625959123565</v>
      </c>
      <c r="C134" s="80">
        <f>+B134*Cálculos!G9/12</f>
        <v>0</v>
      </c>
      <c r="E134" s="4" t="s">
        <v>357</v>
      </c>
      <c r="F134" s="69" t="e">
        <f>+IF(C104=TRUE,HLOOKUP('C.PrestadorRef'!C120,ReferenciasP!H166:J171,2,0)+HLOOKUP('C.PrestadorRef'!C120,ReferenciasP!H166:J171,3,0),HLOOKUP('C.PrestadorRef'!C120,ReferenciasP!H166:J171,2,0)+HLOOKUP('C.PrestadorRef'!C120,ReferenciasP!H166:J171,3,0))</f>
        <v>#DIV/0!</v>
      </c>
      <c r="G134" s="69" t="e">
        <f>+F134*$C$114</f>
        <v>#DIV/0!</v>
      </c>
    </row>
    <row r="135" spans="1:19" x14ac:dyDescent="0.25">
      <c r="A135" s="27" t="str">
        <f>+'Datos Prestador'!M277</f>
        <v>Vidrio</v>
      </c>
      <c r="B135" s="28">
        <f>+IF('Datos Prestador'!N277="",'Datos Prestador'!O277,'Datos Prestador'!N277)</f>
        <v>18.225625959123565</v>
      </c>
      <c r="C135" s="80">
        <f>+B135*Cálculos!G10/12</f>
        <v>0</v>
      </c>
      <c r="E135" s="4" t="s">
        <v>159</v>
      </c>
      <c r="F135" s="4">
        <f>+IF('C.PrestadorRef'!C104=TRUE,'Datos Prestador'!P154,'Datos Prestador'!P154*(ROUNDUP('C.PrestadorRef'!F134/20,0)))</f>
        <v>0</v>
      </c>
      <c r="G135" s="69">
        <f>+F135*$C$114</f>
        <v>0</v>
      </c>
    </row>
    <row r="136" spans="1:19" x14ac:dyDescent="0.25">
      <c r="A136" s="27" t="str">
        <f>+'Datos Prestador'!M278</f>
        <v>Plástico</v>
      </c>
      <c r="B136" s="28">
        <f>+IF('Datos Prestador'!N278="",'Datos Prestador'!O278,'Datos Prestador'!N278)</f>
        <v>36.451251918247131</v>
      </c>
      <c r="C136" s="80">
        <f>+B136*Cálculos!G11/12</f>
        <v>0</v>
      </c>
      <c r="E136" s="4" t="s">
        <v>345</v>
      </c>
      <c r="F136" s="4">
        <f>'Datos Prestador'!P156</f>
        <v>1</v>
      </c>
      <c r="G136" s="69">
        <f>+F136*$C$114</f>
        <v>0</v>
      </c>
    </row>
    <row r="137" spans="1:19" x14ac:dyDescent="0.25">
      <c r="A137" s="27" t="str">
        <f>+'Datos Prestador'!M279</f>
        <v>Metal</v>
      </c>
      <c r="B137" s="28">
        <f>+IF('Datos Prestador'!N279="",'Datos Prestador'!O279,'Datos Prestador'!N279)</f>
        <v>54.6768778773707</v>
      </c>
      <c r="C137" s="80">
        <f>+B137*Cálculos!G12/12</f>
        <v>0</v>
      </c>
    </row>
    <row r="138" spans="1:19" ht="36" customHeight="1" x14ac:dyDescent="0.25">
      <c r="A138" s="27" t="str">
        <f>+'Datos Prestador'!M280</f>
        <v>Otros reciclables</v>
      </c>
      <c r="B138" s="28">
        <f>+IF('Datos Prestador'!N280="",'Datos Prestador'!O280,'Datos Prestador'!N280)</f>
        <v>9.1128129795617827</v>
      </c>
      <c r="C138" s="80">
        <f>+B138*Cálculos!G13/12</f>
        <v>0</v>
      </c>
      <c r="E138" t="s">
        <v>136</v>
      </c>
      <c r="G138" s="65" t="s">
        <v>355</v>
      </c>
      <c r="H138" s="1217" t="str">
        <f>+'Datos Prestador'!$N$168</f>
        <v>Supervisor</v>
      </c>
      <c r="I138" s="1191"/>
      <c r="J138" s="1218" t="str">
        <f>+'Datos Prestador'!$O$168</f>
        <v>Coordinador operativo del centro de acopio</v>
      </c>
      <c r="K138" s="1192"/>
      <c r="M138" t="s">
        <v>125</v>
      </c>
      <c r="N138" t="s">
        <v>424</v>
      </c>
      <c r="O138" t="s">
        <v>137</v>
      </c>
      <c r="P138" t="s">
        <v>125</v>
      </c>
      <c r="Q138" s="10" t="s">
        <v>424</v>
      </c>
      <c r="R138" s="10" t="s">
        <v>137</v>
      </c>
    </row>
    <row r="139" spans="1:19" x14ac:dyDescent="0.25">
      <c r="A139" s="27"/>
      <c r="B139" s="70" t="s">
        <v>9</v>
      </c>
      <c r="C139" s="81">
        <f>+SUM(C133:C138)</f>
        <v>0</v>
      </c>
      <c r="E139" t="s">
        <v>128</v>
      </c>
      <c r="G139" s="47">
        <f>+'Datos Prestador'!$M$169</f>
        <v>0</v>
      </c>
      <c r="H139" s="1196">
        <f>+'Datos Prestador'!$N$169</f>
        <v>0</v>
      </c>
      <c r="I139" s="1197"/>
      <c r="J139" s="1196">
        <f>+'Datos Prestador'!$O$169</f>
        <v>0</v>
      </c>
      <c r="K139" s="1197"/>
      <c r="M139" s="52"/>
    </row>
    <row r="140" spans="1:19" x14ac:dyDescent="0.25">
      <c r="E140" t="s">
        <v>129</v>
      </c>
      <c r="G140" s="47">
        <f>+'Datos Prestador'!$M$170</f>
        <v>0</v>
      </c>
      <c r="H140" s="1196">
        <f>+'Datos Prestador'!$N$170</f>
        <v>0</v>
      </c>
      <c r="I140" s="1197"/>
      <c r="J140" s="1196">
        <f>+'Datos Prestador'!$O$170</f>
        <v>0</v>
      </c>
      <c r="K140" s="1197"/>
      <c r="L140" s="52" t="str">
        <f>+G138</f>
        <v>Operario de separación, embalaje, báscula y minicargador</v>
      </c>
      <c r="M140" t="b">
        <f>+'C.Prestador'!M140</f>
        <v>0</v>
      </c>
      <c r="N140" t="b">
        <f>+'C.Prestador'!N140</f>
        <v>0</v>
      </c>
      <c r="O140" t="b">
        <f>+'C.Prestador'!O140</f>
        <v>1</v>
      </c>
      <c r="P140" s="2">
        <f>+IF(M140=TRUE,G147,0)</f>
        <v>0</v>
      </c>
      <c r="Q140" s="2">
        <f>+IF(N140=TRUE,G147,0)</f>
        <v>0</v>
      </c>
      <c r="R140" s="2" t="e">
        <f>+IF(O140=TRUE,G147,0)</f>
        <v>#DIV/0!</v>
      </c>
    </row>
    <row r="141" spans="1:19" x14ac:dyDescent="0.25">
      <c r="E141" t="s">
        <v>130</v>
      </c>
      <c r="G141" s="49">
        <f>+G$139*'Datos Prestador'!M171</f>
        <v>0</v>
      </c>
      <c r="H141" s="1194">
        <f>+H$139*'Datos Prestador'!N$171</f>
        <v>0</v>
      </c>
      <c r="I141" s="1195"/>
      <c r="J141" s="1194">
        <f>+J$139*'Datos Prestador'!O$171</f>
        <v>0</v>
      </c>
      <c r="K141" s="1195"/>
      <c r="L141" s="52" t="str">
        <f>+H138</f>
        <v>Supervisor</v>
      </c>
      <c r="M141" t="b">
        <f>+'C.Prestador'!M141</f>
        <v>0</v>
      </c>
      <c r="N141" t="b">
        <f>+'C.Prestador'!N141</f>
        <v>0</v>
      </c>
      <c r="O141" t="b">
        <f>+'C.Prestador'!O141</f>
        <v>1</v>
      </c>
      <c r="P141" s="2">
        <f>+IF(M141=TRUE,H147,0)</f>
        <v>0</v>
      </c>
      <c r="Q141" s="2">
        <f>+IF(N141=TRUE,H147,0)</f>
        <v>0</v>
      </c>
      <c r="R141" s="2">
        <f>+IF(O141=TRUE,H147,0)</f>
        <v>0</v>
      </c>
    </row>
    <row r="142" spans="1:19" x14ac:dyDescent="0.25">
      <c r="E142" t="s">
        <v>131</v>
      </c>
      <c r="G142" s="49">
        <f>+G$139*'Datos Prestador'!M172</f>
        <v>0</v>
      </c>
      <c r="H142" s="1194">
        <f>+H$139*'Datos Prestador'!N$171</f>
        <v>0</v>
      </c>
      <c r="I142" s="1195"/>
      <c r="J142" s="1194">
        <f>+J$139*'Datos Prestador'!O$171</f>
        <v>0</v>
      </c>
      <c r="K142" s="1195"/>
      <c r="L142" s="52" t="str">
        <f>+J138</f>
        <v>Coordinador operativo del centro de acopio</v>
      </c>
      <c r="M142" t="b">
        <f>+'C.Prestador'!M142</f>
        <v>0</v>
      </c>
      <c r="N142" t="b">
        <f>+'C.Prestador'!N142</f>
        <v>0</v>
      </c>
      <c r="O142" t="b">
        <f>+'C.Prestador'!O142</f>
        <v>1</v>
      </c>
      <c r="P142" s="2">
        <f>+IF(M142=TRUE,J147,0)</f>
        <v>0</v>
      </c>
      <c r="Q142" s="2">
        <f>+IF(N142=TRUE,J147,0)</f>
        <v>0</v>
      </c>
      <c r="R142" s="2">
        <f>+IF(O142=TRUE,J147,0)</f>
        <v>0</v>
      </c>
    </row>
    <row r="143" spans="1:19" x14ac:dyDescent="0.25">
      <c r="E143" t="s">
        <v>132</v>
      </c>
      <c r="G143" s="49">
        <f>+G$139*'Datos Prestador'!M173</f>
        <v>0</v>
      </c>
      <c r="H143" s="1194">
        <f>+H$139*'Datos Prestador'!N$171</f>
        <v>0</v>
      </c>
      <c r="I143" s="1195"/>
      <c r="J143" s="1194">
        <f>+J$139*'Datos Prestador'!O$171</f>
        <v>0</v>
      </c>
      <c r="K143" s="1195"/>
      <c r="M143" s="52"/>
      <c r="O143" t="s">
        <v>9</v>
      </c>
      <c r="P143" s="63">
        <f>+SUM(P140:P142)</f>
        <v>0</v>
      </c>
      <c r="Q143" s="63">
        <f>+SUM(Q140:Q142)</f>
        <v>0</v>
      </c>
      <c r="R143" s="63" t="e">
        <f>+SUM(R140:R142)</f>
        <v>#DIV/0!</v>
      </c>
    </row>
    <row r="144" spans="1:19" x14ac:dyDescent="0.25">
      <c r="E144" t="s">
        <v>133</v>
      </c>
      <c r="G144" s="49">
        <f>+G$139*'Datos Prestador'!M174</f>
        <v>0</v>
      </c>
      <c r="H144" s="1194">
        <f>+H$139*'Datos Prestador'!N$171</f>
        <v>0</v>
      </c>
      <c r="I144" s="1195"/>
      <c r="J144" s="1194">
        <f>+J$139*'Datos Prestador'!O$171</f>
        <v>0</v>
      </c>
      <c r="K144" s="1195"/>
    </row>
    <row r="145" spans="5:19" x14ac:dyDescent="0.25">
      <c r="E145" t="s">
        <v>135</v>
      </c>
      <c r="G145" s="47">
        <f>+'Datos Prestador'!M175</f>
        <v>0</v>
      </c>
      <c r="H145" s="1196">
        <f>+'Datos Prestador'!N175</f>
        <v>0</v>
      </c>
      <c r="I145" s="1197"/>
      <c r="J145" s="1196">
        <f>+'Datos Prestador'!O175</f>
        <v>0</v>
      </c>
      <c r="K145" s="1197"/>
    </row>
    <row r="146" spans="5:19" x14ac:dyDescent="0.25">
      <c r="E146" s="10" t="s">
        <v>9</v>
      </c>
      <c r="F146" s="10"/>
      <c r="G146" s="49">
        <f>+SUM(G139:G145)</f>
        <v>0</v>
      </c>
      <c r="H146" s="1194">
        <f>+SUM(H139:I145)</f>
        <v>0</v>
      </c>
      <c r="I146" s="1195"/>
      <c r="J146" s="1194">
        <f>+SUM(J139:K145)</f>
        <v>0</v>
      </c>
      <c r="K146" s="1195"/>
    </row>
    <row r="147" spans="5:19" x14ac:dyDescent="0.25">
      <c r="E147" s="10" t="s">
        <v>351</v>
      </c>
      <c r="G147" s="49" t="e">
        <f>+G146*G134</f>
        <v>#DIV/0!</v>
      </c>
      <c r="H147" s="1215">
        <f>+H146*G135</f>
        <v>0</v>
      </c>
      <c r="I147" s="1215"/>
      <c r="J147" s="1216">
        <f>+J146*G136</f>
        <v>0</v>
      </c>
      <c r="K147" s="1216"/>
    </row>
    <row r="150" spans="5:19" x14ac:dyDescent="0.25">
      <c r="E150" s="1193" t="s">
        <v>290</v>
      </c>
      <c r="F150" s="1193"/>
      <c r="G150" s="1193"/>
      <c r="H150" s="1193"/>
      <c r="I150" s="1193"/>
      <c r="J150" s="1193"/>
      <c r="K150" s="1193"/>
      <c r="L150" s="1193"/>
      <c r="M150" s="1193"/>
      <c r="N150" s="1193"/>
      <c r="O150" s="1193"/>
      <c r="P150" s="1193"/>
      <c r="Q150" s="1193"/>
      <c r="R150" s="1193"/>
      <c r="S150" s="1193"/>
    </row>
    <row r="152" spans="5:19" x14ac:dyDescent="0.25">
      <c r="M152" t="s">
        <v>125</v>
      </c>
      <c r="N152" t="s">
        <v>424</v>
      </c>
      <c r="O152" t="s">
        <v>137</v>
      </c>
      <c r="P152" s="10" t="s">
        <v>125</v>
      </c>
      <c r="Q152" s="10" t="s">
        <v>424</v>
      </c>
      <c r="R152" s="10" t="s">
        <v>137</v>
      </c>
    </row>
    <row r="153" spans="5:19" x14ac:dyDescent="0.25">
      <c r="E153" t="s">
        <v>204</v>
      </c>
      <c r="F153" s="66">
        <f>'Datos Prestador'!M240*SUM('C.PrestadorRef'!F102:F103)</f>
        <v>0</v>
      </c>
      <c r="L153" t="s">
        <v>361</v>
      </c>
      <c r="M153" t="b">
        <f>+'C.Prestador'!M153</f>
        <v>0</v>
      </c>
      <c r="N153" t="b">
        <f>+'C.Prestador'!N153</f>
        <v>0</v>
      </c>
      <c r="O153" t="b">
        <f>+'C.Prestador'!O153</f>
        <v>1</v>
      </c>
      <c r="P153" s="68">
        <f>+IF(M153=TRUE,$F$153,0)</f>
        <v>0</v>
      </c>
      <c r="Q153" s="68">
        <f>+IF(N153=TRUE,$F$153,0)</f>
        <v>0</v>
      </c>
      <c r="R153" s="68">
        <f>+IF(O153=TRUE,$F$153,0)</f>
        <v>0</v>
      </c>
    </row>
    <row r="154" spans="5:19" x14ac:dyDescent="0.25">
      <c r="L154" t="s">
        <v>362</v>
      </c>
      <c r="M154" t="b">
        <f>+'C.Prestador'!M154</f>
        <v>0</v>
      </c>
      <c r="N154" t="b">
        <f>+'C.Prestador'!N154</f>
        <v>0</v>
      </c>
      <c r="O154" t="b">
        <f>+'C.Prestador'!O154</f>
        <v>1</v>
      </c>
      <c r="P154" s="68">
        <f>+IF(M154=TRUE,$F$155,0)</f>
        <v>0</v>
      </c>
      <c r="Q154" s="68">
        <f>+IF(N154=TRUE,$F$155,0)</f>
        <v>0</v>
      </c>
      <c r="R154" s="68">
        <f>+IF(O154=TRUE,$F$155,0)</f>
        <v>0</v>
      </c>
    </row>
    <row r="155" spans="5:19" x14ac:dyDescent="0.25">
      <c r="E155" t="s">
        <v>205</v>
      </c>
      <c r="F155" s="427">
        <f>2%*H128</f>
        <v>0</v>
      </c>
      <c r="P155" s="32">
        <f>+SUM(P153:P154)</f>
        <v>0</v>
      </c>
      <c r="Q155" s="32">
        <f>+SUM(Q153:Q154)</f>
        <v>0</v>
      </c>
      <c r="R155" s="32">
        <f>+SUM(R153:R154)</f>
        <v>0</v>
      </c>
    </row>
    <row r="156" spans="5:19" x14ac:dyDescent="0.25">
      <c r="E156" t="s">
        <v>268</v>
      </c>
      <c r="F156" s="29">
        <f>+F155+F153</f>
        <v>0</v>
      </c>
    </row>
    <row r="159" spans="5:19" x14ac:dyDescent="0.25">
      <c r="E159" s="1193" t="s">
        <v>292</v>
      </c>
      <c r="F159" s="1193"/>
      <c r="G159" s="1193"/>
      <c r="H159" s="1193"/>
      <c r="I159" s="1193"/>
      <c r="J159" s="1193"/>
      <c r="K159" s="1193"/>
      <c r="L159" s="1193"/>
      <c r="M159" s="1193"/>
      <c r="N159" s="1193"/>
      <c r="O159" s="1193"/>
      <c r="P159" s="1193"/>
      <c r="Q159" s="1193"/>
      <c r="R159" s="1193"/>
      <c r="S159" s="1193"/>
    </row>
    <row r="161" spans="5:19" x14ac:dyDescent="0.25">
      <c r="M161" t="s">
        <v>125</v>
      </c>
      <c r="N161" t="s">
        <v>424</v>
      </c>
      <c r="O161" t="s">
        <v>137</v>
      </c>
      <c r="P161" s="10" t="s">
        <v>472</v>
      </c>
      <c r="Q161" s="10" t="s">
        <v>424</v>
      </c>
      <c r="R161" s="10" t="s">
        <v>137</v>
      </c>
    </row>
    <row r="162" spans="5:19" x14ac:dyDescent="0.25">
      <c r="E162" t="s">
        <v>200</v>
      </c>
      <c r="F162" s="2">
        <f>'Datos Prestador'!$J$228*'C.PrestadorRef'!C110</f>
        <v>0</v>
      </c>
      <c r="L162" t="str">
        <f>+E162</f>
        <v>Costos de operación</v>
      </c>
      <c r="M162" t="b">
        <f>+'C.Prestador'!M162</f>
        <v>0</v>
      </c>
      <c r="N162" t="b">
        <f>+'C.Prestador'!N162</f>
        <v>0</v>
      </c>
      <c r="O162" t="b">
        <f>+'C.Prestador'!O162</f>
        <v>1</v>
      </c>
      <c r="P162" s="63">
        <f>+IF(M162=TRUE,$F162,0)</f>
        <v>0</v>
      </c>
      <c r="Q162" s="68">
        <f t="shared" ref="Q162:R164" si="4">+IF(N162=TRUE,$F162,0)</f>
        <v>0</v>
      </c>
      <c r="R162" s="68">
        <f t="shared" si="4"/>
        <v>0</v>
      </c>
    </row>
    <row r="163" spans="5:19" x14ac:dyDescent="0.25">
      <c r="E163" t="s">
        <v>201</v>
      </c>
      <c r="F163" s="2" t="e">
        <f>'Datos Prestador'!$J$229*C114</f>
        <v>#DIV/0!</v>
      </c>
      <c r="L163" t="str">
        <f>+E163</f>
        <v>Mantenimiento de maquinaria y equipo</v>
      </c>
      <c r="M163" t="b">
        <f>+'C.Prestador'!M163</f>
        <v>0</v>
      </c>
      <c r="N163" t="b">
        <f>+'C.Prestador'!N163</f>
        <v>0</v>
      </c>
      <c r="O163" t="b">
        <f>+'C.Prestador'!O163</f>
        <v>1</v>
      </c>
      <c r="P163" s="63">
        <f>+IF(M163=TRUE,$F163,0)</f>
        <v>0</v>
      </c>
      <c r="Q163" s="68">
        <f t="shared" si="4"/>
        <v>0</v>
      </c>
      <c r="R163" s="68" t="e">
        <f t="shared" si="4"/>
        <v>#DIV/0!</v>
      </c>
    </row>
    <row r="164" spans="5:19" x14ac:dyDescent="0.25">
      <c r="E164" t="s">
        <v>202</v>
      </c>
      <c r="F164" s="2" t="e">
        <f>'Datos Prestador'!$J$230*C114</f>
        <v>#DIV/0!</v>
      </c>
      <c r="L164" t="str">
        <f>+E164</f>
        <v>Mantenimiento de instalaciones</v>
      </c>
      <c r="M164" t="b">
        <f>+'C.Prestador'!M164</f>
        <v>0</v>
      </c>
      <c r="N164" t="b">
        <f>+'C.Prestador'!N164</f>
        <v>0</v>
      </c>
      <c r="O164" t="b">
        <f>+'C.Prestador'!O164</f>
        <v>1</v>
      </c>
      <c r="P164" s="63">
        <f>+IF(M164=TRUE,$F164,0)</f>
        <v>0</v>
      </c>
      <c r="Q164" s="68">
        <f t="shared" si="4"/>
        <v>0</v>
      </c>
      <c r="R164" s="68" t="e">
        <f t="shared" si="4"/>
        <v>#DIV/0!</v>
      </c>
    </row>
    <row r="165" spans="5:19" x14ac:dyDescent="0.25">
      <c r="O165" s="10" t="s">
        <v>9</v>
      </c>
      <c r="P165" s="32">
        <f>+SUM(P162:P164)</f>
        <v>0</v>
      </c>
      <c r="Q165" s="32">
        <f>+SUM(Q162:Q164)</f>
        <v>0</v>
      </c>
      <c r="R165" s="32" t="e">
        <f>+SUM(R162:R164)</f>
        <v>#DIV/0!</v>
      </c>
    </row>
    <row r="167" spans="5:19" x14ac:dyDescent="0.25">
      <c r="E167" s="1193" t="s">
        <v>296</v>
      </c>
      <c r="F167" s="1193"/>
      <c r="G167" s="1193"/>
      <c r="H167" s="1193"/>
      <c r="I167" s="1193"/>
      <c r="J167" s="1193"/>
      <c r="K167" s="1193"/>
      <c r="L167" s="1193"/>
      <c r="M167" s="1193"/>
      <c r="N167" s="1193"/>
      <c r="O167" s="1193"/>
      <c r="P167" s="1193"/>
      <c r="Q167" s="1193"/>
      <c r="R167" s="1193"/>
      <c r="S167" s="1193"/>
    </row>
    <row r="170" spans="5:19" ht="26.25" x14ac:dyDescent="0.25">
      <c r="M170" s="10" t="s">
        <v>86</v>
      </c>
      <c r="N170" t="s">
        <v>426</v>
      </c>
      <c r="O170" s="125" t="s">
        <v>137</v>
      </c>
      <c r="P170" t="s">
        <v>125</v>
      </c>
    </row>
    <row r="171" spans="5:19" x14ac:dyDescent="0.25">
      <c r="E171" t="s">
        <v>291</v>
      </c>
      <c r="F171" s="29">
        <f>+I128</f>
        <v>0</v>
      </c>
      <c r="M171" t="s">
        <v>291</v>
      </c>
      <c r="N171" s="29">
        <f>+R128</f>
        <v>0</v>
      </c>
      <c r="O171" s="29">
        <f>+S128</f>
        <v>0</v>
      </c>
      <c r="P171" s="29">
        <f t="shared" ref="P171:P176" si="5">+IF((F171-N171-O171)&lt;0,0,F171-N171-O171)</f>
        <v>0</v>
      </c>
    </row>
    <row r="172" spans="5:19" x14ac:dyDescent="0.25">
      <c r="E172" t="s">
        <v>290</v>
      </c>
      <c r="F172" s="29">
        <f>+F156</f>
        <v>0</v>
      </c>
      <c r="M172" t="s">
        <v>290</v>
      </c>
      <c r="N172" s="29">
        <f>+Q155</f>
        <v>0</v>
      </c>
      <c r="O172" s="29">
        <f>+R155</f>
        <v>0</v>
      </c>
      <c r="P172" s="29">
        <f t="shared" si="5"/>
        <v>0</v>
      </c>
    </row>
    <row r="173" spans="5:19" x14ac:dyDescent="0.25">
      <c r="E173" t="s">
        <v>292</v>
      </c>
      <c r="F173" s="29" t="e">
        <f>+F162+F163+F164</f>
        <v>#DIV/0!</v>
      </c>
      <c r="M173" t="s">
        <v>292</v>
      </c>
      <c r="N173" s="29">
        <f>+Q140</f>
        <v>0</v>
      </c>
      <c r="O173" s="29" t="e">
        <f>+R165</f>
        <v>#DIV/0!</v>
      </c>
      <c r="P173" s="29" t="e">
        <f t="shared" si="5"/>
        <v>#DIV/0!</v>
      </c>
    </row>
    <row r="174" spans="5:19" x14ac:dyDescent="0.25">
      <c r="E174" t="s">
        <v>293</v>
      </c>
      <c r="F174" s="29" t="e">
        <f>+G147+H147+J147</f>
        <v>#DIV/0!</v>
      </c>
      <c r="M174" t="s">
        <v>293</v>
      </c>
      <c r="N174" s="29">
        <f>+Q143</f>
        <v>0</v>
      </c>
      <c r="O174" s="29" t="e">
        <f>+R143</f>
        <v>#DIV/0!</v>
      </c>
      <c r="P174" s="29" t="e">
        <f t="shared" si="5"/>
        <v>#DIV/0!</v>
      </c>
    </row>
    <row r="175" spans="5:19" x14ac:dyDescent="0.25">
      <c r="E175" t="s">
        <v>208</v>
      </c>
      <c r="F175" s="29" t="e">
        <f>'Datos Prestador'!L253*SUM(F171:F174)</f>
        <v>#DIV/0!</v>
      </c>
      <c r="M175" t="s">
        <v>208</v>
      </c>
      <c r="N175" s="29">
        <f>+IF(C38=TRUE,$F175,0)</f>
        <v>0</v>
      </c>
      <c r="O175" s="29" t="e">
        <f>+IF(C39=TRUE,$F175,0)</f>
        <v>#DIV/0!</v>
      </c>
      <c r="P175" s="29" t="e">
        <f t="shared" si="5"/>
        <v>#DIV/0!</v>
      </c>
    </row>
    <row r="176" spans="5:19" x14ac:dyDescent="0.25">
      <c r="E176" t="s">
        <v>294</v>
      </c>
      <c r="F176" s="29" t="e">
        <f>+SUM(F172:F175)*$C$34</f>
        <v>#DIV/0!</v>
      </c>
      <c r="M176" t="s">
        <v>294</v>
      </c>
      <c r="N176" s="29">
        <f>+SUM(N172:N175)*$C$34</f>
        <v>0</v>
      </c>
      <c r="O176" s="29" t="e">
        <f>+SUM(O172:O175)*$C$34</f>
        <v>#DIV/0!</v>
      </c>
      <c r="P176" s="29" t="e">
        <f t="shared" si="5"/>
        <v>#DIV/0!</v>
      </c>
    </row>
    <row r="177" spans="2:19" x14ac:dyDescent="0.25">
      <c r="E177" t="s">
        <v>381</v>
      </c>
      <c r="F177" s="29">
        <f>'Datos Prestador'!P144*'Datos Generales'!L42*('Datos Prestador'!G157+'Datos Prestador'!G158)</f>
        <v>0</v>
      </c>
      <c r="M177" t="s">
        <v>381</v>
      </c>
      <c r="N177" s="29"/>
      <c r="O177" s="29"/>
      <c r="P177" s="29">
        <f>+F177</f>
        <v>0</v>
      </c>
    </row>
    <row r="178" spans="2:19" x14ac:dyDescent="0.25">
      <c r="E178" s="10" t="s">
        <v>295</v>
      </c>
      <c r="F178" s="29" t="e">
        <f>+SUM(F171:F176)</f>
        <v>#DIV/0!</v>
      </c>
      <c r="M178" s="10" t="s">
        <v>9</v>
      </c>
      <c r="N178" s="32">
        <f>+SUM(N171:N177)</f>
        <v>0</v>
      </c>
      <c r="O178" s="32" t="e">
        <f>+SUM(O171:O177)</f>
        <v>#DIV/0!</v>
      </c>
      <c r="P178" s="32" t="e">
        <f>+SUM(P171:P177)</f>
        <v>#DIV/0!</v>
      </c>
    </row>
    <row r="179" spans="2:19" x14ac:dyDescent="0.25">
      <c r="E179" s="82" t="s">
        <v>409</v>
      </c>
      <c r="F179" s="83">
        <f>+F55</f>
        <v>0</v>
      </c>
      <c r="M179" t="s">
        <v>409</v>
      </c>
      <c r="P179" s="29">
        <f>+F179</f>
        <v>0</v>
      </c>
    </row>
    <row r="181" spans="2:19" x14ac:dyDescent="0.25">
      <c r="F181" s="2"/>
    </row>
    <row r="185" spans="2:19" ht="23.25" x14ac:dyDescent="0.25">
      <c r="B185" s="1212" t="s">
        <v>365</v>
      </c>
      <c r="C185" s="1213"/>
      <c r="D185" s="1213"/>
      <c r="E185" s="1213"/>
      <c r="F185" s="1213"/>
      <c r="G185" s="1213"/>
      <c r="H185" s="1213"/>
      <c r="I185" s="1213"/>
      <c r="J185" s="1213"/>
      <c r="K185" s="1213"/>
      <c r="L185" s="1213"/>
      <c r="M185" s="1213"/>
      <c r="N185" s="1213"/>
      <c r="O185" s="1213"/>
      <c r="P185" s="1213"/>
      <c r="Q185" s="1213"/>
      <c r="R185" s="1213"/>
      <c r="S185" s="1213"/>
    </row>
    <row r="187" spans="2:19" ht="18.75" x14ac:dyDescent="0.25">
      <c r="B187" s="804" t="s">
        <v>367</v>
      </c>
      <c r="C187" s="804"/>
      <c r="D187" s="804"/>
      <c r="E187" s="804"/>
      <c r="F187" s="804"/>
      <c r="G187" s="804"/>
      <c r="H187" s="804"/>
      <c r="I187" s="804"/>
      <c r="J187" s="804"/>
      <c r="K187" s="804"/>
      <c r="L187" s="804"/>
      <c r="M187" s="804"/>
    </row>
    <row r="189" spans="2:19" x14ac:dyDescent="0.25">
      <c r="B189" s="1214" t="s">
        <v>675</v>
      </c>
      <c r="C189" s="1214"/>
      <c r="E189" s="1214" t="s">
        <v>676</v>
      </c>
      <c r="F189" s="1214"/>
    </row>
    <row r="190" spans="2:19" x14ac:dyDescent="0.25">
      <c r="B190" s="131" t="s">
        <v>73</v>
      </c>
      <c r="C190" s="155" t="s">
        <v>406</v>
      </c>
      <c r="E190" s="131" t="s">
        <v>73</v>
      </c>
      <c r="F190" s="225" t="s">
        <v>406</v>
      </c>
    </row>
    <row r="191" spans="2:19" x14ac:dyDescent="0.25">
      <c r="B191" s="72" t="s">
        <v>3</v>
      </c>
      <c r="C191" s="73">
        <f>+IF('Datos Prestador'!F275="",'Datos Prestador'!G275,'Datos Prestador'!F275)*Cálculos!G8/12</f>
        <v>0</v>
      </c>
      <c r="E191" s="72" t="s">
        <v>3</v>
      </c>
      <c r="F191" s="73">
        <f>+IF('Datos Prestador'!N275="",'Datos Prestador'!O275,'Datos Prestador'!N275)*Cálculos!G8/12</f>
        <v>0</v>
      </c>
    </row>
    <row r="192" spans="2:19" x14ac:dyDescent="0.25">
      <c r="B192" s="72" t="s">
        <v>4</v>
      </c>
      <c r="C192" s="73">
        <f>+IF('Datos Prestador'!F276="",'Datos Prestador'!G276,'Datos Prestador'!F276)*Cálculos!G9/12</f>
        <v>0</v>
      </c>
      <c r="E192" s="72" t="s">
        <v>4</v>
      </c>
      <c r="F192" s="73">
        <f>+IF('Datos Prestador'!N276="",'Datos Prestador'!O276,'Datos Prestador'!N276)*Cálculos!G9/12</f>
        <v>0</v>
      </c>
    </row>
    <row r="193" spans="2:13" x14ac:dyDescent="0.25">
      <c r="B193" s="72" t="s">
        <v>6</v>
      </c>
      <c r="C193" s="73">
        <f>+IF('Datos Prestador'!F277="",'Datos Prestador'!G277,'Datos Prestador'!F277)*Cálculos!G10/12</f>
        <v>0</v>
      </c>
      <c r="E193" s="72" t="s">
        <v>6</v>
      </c>
      <c r="F193" s="73">
        <f>+IF('Datos Prestador'!N277="",'Datos Prestador'!O277,'Datos Prestador'!N277)*Cálculos!G10/12</f>
        <v>0</v>
      </c>
    </row>
    <row r="194" spans="2:13" x14ac:dyDescent="0.25">
      <c r="B194" s="72" t="s">
        <v>5</v>
      </c>
      <c r="C194" s="73">
        <f>+IF('Datos Prestador'!F278="",'Datos Prestador'!G278,'Datos Prestador'!F278)*Cálculos!G11/12</f>
        <v>0</v>
      </c>
      <c r="E194" s="72" t="s">
        <v>5</v>
      </c>
      <c r="F194" s="73">
        <f>+IF('Datos Prestador'!N278="",'Datos Prestador'!O278,'Datos Prestador'!N278)*Cálculos!G11/12</f>
        <v>0</v>
      </c>
    </row>
    <row r="195" spans="2:13" x14ac:dyDescent="0.25">
      <c r="B195" s="72" t="s">
        <v>7</v>
      </c>
      <c r="C195" s="73">
        <f>+IF('Datos Prestador'!F279="",'Datos Prestador'!G279,'Datos Prestador'!F279)*Cálculos!G12/12</f>
        <v>0</v>
      </c>
      <c r="E195" s="72" t="s">
        <v>7</v>
      </c>
      <c r="F195" s="73">
        <f>+IF('Datos Prestador'!N279="",'Datos Prestador'!O279,'Datos Prestador'!N279)*Cálculos!G12/12</f>
        <v>0</v>
      </c>
    </row>
    <row r="196" spans="2:13" x14ac:dyDescent="0.25">
      <c r="B196" s="72" t="s">
        <v>72</v>
      </c>
      <c r="C196" s="73">
        <f>+IF('Datos Prestador'!F280="",'Datos Prestador'!G280,'Datos Prestador'!F280)*Cálculos!G13/12</f>
        <v>0</v>
      </c>
      <c r="E196" s="72" t="s">
        <v>72</v>
      </c>
      <c r="F196" s="73">
        <f>+IF('Datos Prestador'!N280="",'Datos Prestador'!O280,'Datos Prestador'!N280)*Cálculos!G13/12</f>
        <v>0</v>
      </c>
    </row>
    <row r="197" spans="2:13" x14ac:dyDescent="0.25">
      <c r="B197" s="72" t="s">
        <v>9</v>
      </c>
      <c r="C197" s="73">
        <f>+SUM(C191:C196)</f>
        <v>0</v>
      </c>
      <c r="E197" s="72" t="s">
        <v>9</v>
      </c>
      <c r="F197" s="73">
        <f>+SUM(F191:F196)</f>
        <v>0</v>
      </c>
    </row>
    <row r="198" spans="2:13" x14ac:dyDescent="0.25">
      <c r="C198" s="29"/>
    </row>
    <row r="200" spans="2:13" ht="18.75" x14ac:dyDescent="0.25">
      <c r="B200" s="804" t="s">
        <v>377</v>
      </c>
      <c r="C200" s="804"/>
      <c r="D200" s="804"/>
      <c r="E200" s="804"/>
      <c r="F200" s="804"/>
      <c r="G200" s="804"/>
      <c r="H200" s="804"/>
      <c r="I200" s="804"/>
      <c r="J200" s="804"/>
      <c r="K200" s="804"/>
      <c r="L200" s="804"/>
      <c r="M200" s="804"/>
    </row>
    <row r="202" spans="2:13" x14ac:dyDescent="0.25">
      <c r="B202" t="s">
        <v>407</v>
      </c>
      <c r="C202" t="s">
        <v>408</v>
      </c>
    </row>
    <row r="203" spans="2:13" x14ac:dyDescent="0.25">
      <c r="B203" t="s">
        <v>81</v>
      </c>
      <c r="C203" s="29">
        <f>+'Datos Prestador'!$G$286*Cálculos!G15</f>
        <v>0</v>
      </c>
    </row>
    <row r="204" spans="2:13" x14ac:dyDescent="0.25">
      <c r="B204" t="s">
        <v>121</v>
      </c>
      <c r="C204" s="29">
        <f>+'Datos Prestador'!$N$286*Cálculos!G15</f>
        <v>0</v>
      </c>
    </row>
    <row r="209" spans="5:18" x14ac:dyDescent="0.25">
      <c r="F209" s="2"/>
    </row>
    <row r="210" spans="5:18" x14ac:dyDescent="0.25">
      <c r="F210" s="2"/>
    </row>
    <row r="214" spans="5:18" x14ac:dyDescent="0.25">
      <c r="E214" s="1193" t="s">
        <v>400</v>
      </c>
      <c r="F214" s="1193"/>
      <c r="G214" s="1193"/>
      <c r="H214" s="1193"/>
      <c r="I214" s="1193"/>
      <c r="J214" s="1193"/>
      <c r="K214" s="1193"/>
      <c r="L214" s="1193"/>
      <c r="M214" s="1193"/>
      <c r="N214" s="1193"/>
      <c r="O214" s="1193"/>
      <c r="P214" s="1193"/>
      <c r="Q214" s="1193"/>
      <c r="R214" s="1193"/>
    </row>
    <row r="217" spans="5:18" x14ac:dyDescent="0.25">
      <c r="E217" t="s">
        <v>411</v>
      </c>
      <c r="F217" s="29">
        <f>+C197</f>
        <v>0</v>
      </c>
    </row>
    <row r="218" spans="5:18" x14ac:dyDescent="0.25">
      <c r="E218" t="s">
        <v>412</v>
      </c>
      <c r="F218" s="29">
        <f>+C203+C204</f>
        <v>0</v>
      </c>
    </row>
    <row r="219" spans="5:18" x14ac:dyDescent="0.25">
      <c r="E219" t="s">
        <v>413</v>
      </c>
      <c r="F219" s="29">
        <f>+F209</f>
        <v>0</v>
      </c>
    </row>
    <row r="220" spans="5:18" x14ac:dyDescent="0.25">
      <c r="E220" t="s">
        <v>414</v>
      </c>
      <c r="F220" s="29">
        <f>+F210*(F16*F24+F17*F24+H16*H24)</f>
        <v>0</v>
      </c>
    </row>
    <row r="221" spans="5:18" x14ac:dyDescent="0.25">
      <c r="E221" t="s">
        <v>415</v>
      </c>
      <c r="F221" s="29" t="e">
        <f>+F210*(G134+G135+G136)</f>
        <v>#DIV/0!</v>
      </c>
    </row>
    <row r="222" spans="5:18" x14ac:dyDescent="0.25">
      <c r="E222" t="s">
        <v>9</v>
      </c>
      <c r="F222" s="29" t="e">
        <f>+SUM(F217:F221)</f>
        <v>#DIV/0!</v>
      </c>
    </row>
  </sheetData>
  <mergeCells count="77">
    <mergeCell ref="B3:S3"/>
    <mergeCell ref="B5:C5"/>
    <mergeCell ref="E5:I5"/>
    <mergeCell ref="E35:K35"/>
    <mergeCell ref="M35:R35"/>
    <mergeCell ref="I99:K99"/>
    <mergeCell ref="E36:S36"/>
    <mergeCell ref="I40:J40"/>
    <mergeCell ref="I41:J41"/>
    <mergeCell ref="I42:J42"/>
    <mergeCell ref="I43:J43"/>
    <mergeCell ref="E47:S47"/>
    <mergeCell ref="E57:S57"/>
    <mergeCell ref="E71:S71"/>
    <mergeCell ref="E82:S82"/>
    <mergeCell ref="B94:S94"/>
    <mergeCell ref="E97:S97"/>
    <mergeCell ref="I111:K111"/>
    <mergeCell ref="I100:K100"/>
    <mergeCell ref="I101:K101"/>
    <mergeCell ref="I102:K102"/>
    <mergeCell ref="I103:K103"/>
    <mergeCell ref="I104:K104"/>
    <mergeCell ref="I105:K105"/>
    <mergeCell ref="I106:K106"/>
    <mergeCell ref="I107:K107"/>
    <mergeCell ref="I108:K108"/>
    <mergeCell ref="I109:K109"/>
    <mergeCell ref="I110:K110"/>
    <mergeCell ref="I123:K123"/>
    <mergeCell ref="I112:K112"/>
    <mergeCell ref="I113:K113"/>
    <mergeCell ref="I114:K114"/>
    <mergeCell ref="I115:K115"/>
    <mergeCell ref="I116:K116"/>
    <mergeCell ref="I117:K117"/>
    <mergeCell ref="I118:K118"/>
    <mergeCell ref="I119:K119"/>
    <mergeCell ref="I120:K120"/>
    <mergeCell ref="I121:K121"/>
    <mergeCell ref="I122:K122"/>
    <mergeCell ref="I124:K124"/>
    <mergeCell ref="I125:K125"/>
    <mergeCell ref="I126:K126"/>
    <mergeCell ref="I128:K128"/>
    <mergeCell ref="A131:C131"/>
    <mergeCell ref="E131:S131"/>
    <mergeCell ref="I127:K127"/>
    <mergeCell ref="H138:I138"/>
    <mergeCell ref="J138:K138"/>
    <mergeCell ref="H139:I139"/>
    <mergeCell ref="J139:K139"/>
    <mergeCell ref="H140:I140"/>
    <mergeCell ref="J140:K140"/>
    <mergeCell ref="H141:I141"/>
    <mergeCell ref="J141:K141"/>
    <mergeCell ref="H142:I142"/>
    <mergeCell ref="J142:K142"/>
    <mergeCell ref="H143:I143"/>
    <mergeCell ref="J143:K143"/>
    <mergeCell ref="H144:I144"/>
    <mergeCell ref="J144:K144"/>
    <mergeCell ref="H145:I145"/>
    <mergeCell ref="J145:K145"/>
    <mergeCell ref="H146:I146"/>
    <mergeCell ref="J146:K146"/>
    <mergeCell ref="B187:M187"/>
    <mergeCell ref="B200:M200"/>
    <mergeCell ref="E214:R214"/>
    <mergeCell ref="H147:I147"/>
    <mergeCell ref="J147:K147"/>
    <mergeCell ref="E150:S150"/>
    <mergeCell ref="E159:S159"/>
    <mergeCell ref="E167:S167"/>
    <mergeCell ref="B185:S185"/>
    <mergeCell ref="B189:C189"/>
    <mergeCell ref="E189:F189"/>
  </mergeCell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tabColor theme="5" tint="0.39997558519241921"/>
  </sheetPr>
  <dimension ref="A1:P115"/>
  <sheetViews>
    <sheetView workbookViewId="0">
      <pane xSplit="1" ySplit="5" topLeftCell="D6" activePane="bottomRight" state="frozen"/>
      <selection pane="topRight" activeCell="B1" sqref="B1"/>
      <selection pane="bottomLeft" activeCell="A6" sqref="A6"/>
      <selection pane="bottomRight" activeCell="E12" sqref="E12"/>
    </sheetView>
  </sheetViews>
  <sheetFormatPr baseColWidth="10" defaultColWidth="11.5703125" defaultRowHeight="15" x14ac:dyDescent="0.25"/>
  <cols>
    <col min="1" max="1" width="40.140625" customWidth="1"/>
    <col min="2" max="2" width="41.42578125" bestFit="1" customWidth="1"/>
    <col min="3" max="3" width="16.7109375" bestFit="1" customWidth="1"/>
    <col min="4" max="4" width="15.5703125" customWidth="1"/>
    <col min="5" max="5" width="23.5703125" customWidth="1"/>
    <col min="6" max="6" width="19.42578125" customWidth="1"/>
    <col min="8" max="8" width="19.5703125" customWidth="1"/>
    <col min="11" max="11" width="36.28515625" bestFit="1" customWidth="1"/>
  </cols>
  <sheetData>
    <row r="1" spans="1:12" x14ac:dyDescent="0.25">
      <c r="A1" t="s">
        <v>395</v>
      </c>
      <c r="B1" t="s">
        <v>383</v>
      </c>
      <c r="E1" t="s">
        <v>119</v>
      </c>
      <c r="H1" t="s">
        <v>126</v>
      </c>
      <c r="K1" t="s">
        <v>127</v>
      </c>
    </row>
    <row r="3" spans="1:12" s="79" customFormat="1" ht="21" x14ac:dyDescent="0.35">
      <c r="A3" s="79" t="s">
        <v>399</v>
      </c>
    </row>
    <row r="4" spans="1:12" x14ac:dyDescent="0.25">
      <c r="A4" t="s">
        <v>384</v>
      </c>
      <c r="B4" t="s">
        <v>120</v>
      </c>
      <c r="E4" t="s">
        <v>397</v>
      </c>
      <c r="H4" t="s">
        <v>120</v>
      </c>
      <c r="K4" t="s">
        <v>397</v>
      </c>
    </row>
    <row r="5" spans="1:12" x14ac:dyDescent="0.25">
      <c r="A5" t="s">
        <v>385</v>
      </c>
      <c r="B5" t="s">
        <v>120</v>
      </c>
      <c r="E5" t="s">
        <v>120</v>
      </c>
      <c r="H5" t="s">
        <v>397</v>
      </c>
      <c r="K5" t="s">
        <v>397</v>
      </c>
    </row>
    <row r="7" spans="1:12" x14ac:dyDescent="0.25">
      <c r="A7" t="s">
        <v>386</v>
      </c>
    </row>
    <row r="8" spans="1:12" ht="17.25" customHeight="1" x14ac:dyDescent="0.25"/>
    <row r="9" spans="1:12" ht="29.25" customHeight="1" x14ac:dyDescent="0.25">
      <c r="A9" t="s">
        <v>83</v>
      </c>
      <c r="B9" s="78" t="str">
        <f>+IF('Datos Prestador'!G19="Combinación de equipo de tracción manual con camión",CONCATENATE('Datos Prestador'!G24," y ",'Datos Prestador'!O24),'C.Recicladores'!F6)</f>
        <v>Vehículo motorizado mediano y Equipo de tracción manual</v>
      </c>
      <c r="C9" s="78"/>
      <c r="E9" s="78" t="str">
        <f>+IF('Datos Recicladores'!G19="Combinación de equipo de tracción manual con camión",CONCATENATE('Datos Recicladores'!G24," y ",'Datos Recicladores'!O24),'C.Recicladores'!F6)</f>
        <v>Vehículo motorizado mediano y Equipo de tracción manual</v>
      </c>
      <c r="H9" s="78" t="str">
        <f>+B9</f>
        <v>Vehículo motorizado mediano y Equipo de tracción manual</v>
      </c>
      <c r="I9" s="78"/>
      <c r="J9" s="78"/>
      <c r="K9" s="78" t="str">
        <f>+E9</f>
        <v>Vehículo motorizado mediano y Equipo de tracción manual</v>
      </c>
    </row>
    <row r="10" spans="1:12" ht="29.25" customHeight="1" x14ac:dyDescent="0.25">
      <c r="B10" s="78"/>
      <c r="C10" s="78"/>
      <c r="E10" t="str">
        <f>+IF('Datos Recicladores'!G19="Combinación de triciclo con camión",'C.Recicladores'!F7,"")</f>
        <v/>
      </c>
      <c r="F10" t="str">
        <f>+IF('Datos Recicladores'!G19="Combinación de triciclo con camión",'C.Recicladores'!H7,"")</f>
        <v/>
      </c>
      <c r="K10" t="str">
        <f>+E10</f>
        <v/>
      </c>
      <c r="L10" t="str">
        <f>+F10</f>
        <v/>
      </c>
    </row>
    <row r="11" spans="1:12" x14ac:dyDescent="0.25">
      <c r="A11" t="s">
        <v>398</v>
      </c>
      <c r="B11" t="str">
        <f>+CONCATENATE(ROUND(IF('Datos Prestador'!G27="",'Datos Prestador'!H27,'Datos Prestador'!G27),2)," ",IF('Datos Prestador'!G26="Peso (Toneladas)","Ton","m3"))</f>
        <v>3,5 Ton</v>
      </c>
      <c r="C11" t="str">
        <f>+CONCATENATE(ROUND(IF('Datos Prestador'!P27="",'Datos Prestador'!O27,'Datos Prestador'!P27),2)," ",IF('Datos Prestador'!O26="Peso (Toneladas)","Ton","m3"))</f>
        <v>0,25 Ton</v>
      </c>
      <c r="E11" s="29" t="str">
        <f>+CONCATENATE(ROUND(IF('Datos Recicladores'!G27="",'Datos Recicladores'!H27,'Datos Recicladores'!G27),2)," ",IF('Datos Recicladores'!G26="Peso (Toneladas)","Ton","m3"))</f>
        <v>3,5 Ton</v>
      </c>
      <c r="F11" s="2" t="str">
        <f>+CONCATENATE(ROUND(IF('Datos Recicladores'!P27="",'Datos Recicladores'!O27,'Datos Recicladores'!P27),2)," ",IF('Datos Recicladores'!O26="Peso (Toneladas)","Ton","m3"))</f>
        <v>3,13 m3</v>
      </c>
      <c r="H11" t="str">
        <f>+CONCATENATE(ROUND(IF('Datos Prestador'!G27="",'Datos Prestador'!H27,'Datos Prestador'!G27),2)," ",IF('Datos Prestador'!G26="Peso (Toneladas)","Ton","m3"))</f>
        <v>3,5 Ton</v>
      </c>
      <c r="I11" t="str">
        <f>+CONCATENATE(ROUND(IF('Datos Prestador'!P27="",'Datos Prestador'!O27,'Datos Prestador'!P27),2)," ",IF('Datos Prestador'!O26="Peso (Toneladas)","Ton","m3"))</f>
        <v>0,25 Ton</v>
      </c>
      <c r="K11" t="str">
        <f>+CONCATENATE(ROUND(IF('Datos Recicladores'!G27="",'Datos Recicladores'!H27,'Datos Recicladores'!G27),2)," ",IF('Datos Recicladores'!G26="Peso (Toneladas)","Ton","m3"))</f>
        <v>3,5 Ton</v>
      </c>
      <c r="L11" t="str">
        <f>+CONCATENATE(ROUND(IF('Datos Recicladores'!P27="",'Datos Recicladores'!O27,'Datos Recicladores'!P27),2)," ",IF('Datos Recicladores'!O26="Peso (Toneladas)","Ton","m3"))</f>
        <v>3,13 m3</v>
      </c>
    </row>
    <row r="12" spans="1:12" x14ac:dyDescent="0.25">
      <c r="A12" t="s">
        <v>476</v>
      </c>
      <c r="B12" s="156">
        <f>+SUM(B13:B14)</f>
        <v>0</v>
      </c>
      <c r="C12" s="156">
        <f>+SUM(C13:C14)</f>
        <v>0</v>
      </c>
      <c r="E12" s="156">
        <f>+SUM(E13:E14)</f>
        <v>0</v>
      </c>
      <c r="F12" s="156">
        <f>+SUM(F13:F14)</f>
        <v>0</v>
      </c>
      <c r="H12" s="156">
        <f>+SUM(H13:H14)</f>
        <v>0</v>
      </c>
      <c r="I12" s="156">
        <f>+SUM(I13:I14)</f>
        <v>0</v>
      </c>
      <c r="K12" s="156">
        <f>+SUM(K13:K14)</f>
        <v>0</v>
      </c>
      <c r="L12" s="156">
        <f>+SUM(L13:L14)</f>
        <v>0</v>
      </c>
    </row>
    <row r="13" spans="1:12" s="159" customFormat="1" x14ac:dyDescent="0.25">
      <c r="A13" s="157" t="s">
        <v>475</v>
      </c>
      <c r="B13" s="158">
        <f>+IF(AND('C.Prestador'!M12="",'C.Prestador'!M13=""),'C.Prestador'!F21,IF('C.Prestador'!M12="",0,'C.Prestador'!M12)+IF('C.Prestador'!M13="",0,'C.Prestador'!M13))</f>
        <v>0</v>
      </c>
      <c r="C13" s="158">
        <f>+IF('C.Prestador'!M14="",'C.Prestador'!H21,'C.Prestador'!M14)</f>
        <v>0</v>
      </c>
      <c r="E13" s="158">
        <f>+IF(AND('C.Recicladores'!M12="",'C.Recicladores'!M13=""),'C.Recicladores'!F21,IF('C.Recicladores'!M12="",0,'C.Recicladores'!M12)+IF('C.Recicladores'!M13="",0,'C.Recicladores'!M13))</f>
        <v>0</v>
      </c>
      <c r="F13" s="158">
        <f>+IF('C.Recicladores'!M14="",'C.Recicladores'!H21,'C.Recicladores'!M14)</f>
        <v>0</v>
      </c>
      <c r="H13" s="158">
        <f>+IF(AND('C.Prestador'!M12="",'C.Prestador'!M13=""),'C.Prestador'!F21,IF('C.Prestador'!M12="",0,'C.Prestador'!M12)+IF('C.Prestador'!M13="",0,'C.Prestador'!M13))</f>
        <v>0</v>
      </c>
      <c r="I13" s="158">
        <f>+IF('C.Prestador'!M14="",'C.Prestador'!H21,'C.Prestador'!M14)</f>
        <v>0</v>
      </c>
      <c r="K13" s="159">
        <f>+IF(AND('C.Recicladores'!M12="",'C.Recicladores'!M13=""),'C.Recicladores'!F21,IF('C.Recicladores'!M12="",0,'C.Recicladores'!M12)+IF('C.Recicladores'!M13="",0,'C.Recicladores'!M13))</f>
        <v>0</v>
      </c>
      <c r="L13" s="159">
        <f>+IF('C.Recicladores'!M14="",'C.Recicladores'!H21,'C.Recicladores'!M14)</f>
        <v>0</v>
      </c>
    </row>
    <row r="14" spans="1:12" s="159" customFormat="1" x14ac:dyDescent="0.25">
      <c r="A14" s="157" t="s">
        <v>388</v>
      </c>
      <c r="B14" s="158">
        <f>+IF(AND('C.Prestador'!M12="",'C.Prestador'!M13=""),'C.Prestador'!F22,0)</f>
        <v>0</v>
      </c>
      <c r="C14" s="158">
        <f>+IF('C.Prestador'!M14="",'C.Prestador'!H22,0)</f>
        <v>0</v>
      </c>
      <c r="E14" s="158">
        <f>+IF(AND('C.Recicladores'!M12="",'C.Recicladores'!M13=""),'C.Recicladores'!F22,0)</f>
        <v>0</v>
      </c>
      <c r="F14" s="158">
        <f>+IF('C.Recicladores'!M14="",'C.Recicladores'!H22,0)</f>
        <v>0</v>
      </c>
      <c r="H14" s="158">
        <f>+IF(AND('C.Prestador'!M12="",'C.Prestador'!M13=""),'C.Prestador'!F22,0)</f>
        <v>0</v>
      </c>
      <c r="I14" s="158">
        <f>+IF('C.Prestador'!M14="",'C.Prestador'!H22,0)</f>
        <v>0</v>
      </c>
      <c r="K14" s="159">
        <f>+IF(AND('C.Recicladores'!M12="",'C.Recicladores'!M13=""),'C.Recicladores'!F22,0)</f>
        <v>0</v>
      </c>
      <c r="L14" s="159">
        <f>+IF('C.Recicladores'!M14="",'C.Recicladores'!H22,0)</f>
        <v>0</v>
      </c>
    </row>
    <row r="15" spans="1:12" x14ac:dyDescent="0.25">
      <c r="A15" t="s">
        <v>477</v>
      </c>
      <c r="B15" s="156">
        <f>+SUM(B16:B18)</f>
        <v>0</v>
      </c>
      <c r="C15" s="156">
        <f>+SUM(C16:C18)</f>
        <v>0</v>
      </c>
      <c r="E15" s="156">
        <f>+SUM(E16:E18)</f>
        <v>0</v>
      </c>
      <c r="F15" s="156">
        <f>+SUM(F16:F18)</f>
        <v>0</v>
      </c>
      <c r="H15" s="156">
        <f>+SUM(H16:H18)</f>
        <v>0</v>
      </c>
      <c r="I15" s="156">
        <f>+SUM(I16:I18)</f>
        <v>0</v>
      </c>
      <c r="K15">
        <f>+E15</f>
        <v>0</v>
      </c>
      <c r="L15">
        <f>+F15</f>
        <v>0</v>
      </c>
    </row>
    <row r="16" spans="1:12" s="159" customFormat="1" x14ac:dyDescent="0.25">
      <c r="A16" s="157" t="s">
        <v>387</v>
      </c>
      <c r="B16" s="158">
        <f>+IF(AND('C.Prestador'!M16="",'C.Prestador'!M17=""),'C.Prestador'!F16*'C.Prestador'!F24,IF('C.Prestador'!M16="",0,'C.Prestador'!M16)*'C.Prestador'!F40+IF('C.Prestador'!M17="",0,'C.Prestador'!M17)*'C.Prestador'!F41)</f>
        <v>0</v>
      </c>
      <c r="C16" s="158">
        <f>+IF('C.Prestador'!M18="",'C.Prestador'!H16*'C.Prestador'!H24,'C.Prestador'!M18*'C.Prestador'!F42)</f>
        <v>0</v>
      </c>
      <c r="E16" s="158">
        <f>+IF(AND('C.Recicladores'!M16="",'C.Recicladores'!M17=""),'C.Recicladores'!F16*'C.Recicladores'!F24,IF('C.Recicladores'!M16="",0,'C.Recicladores'!M16)*'C.Recicladores'!F40+IF('C.Recicladores'!M17="",0,'C.Recicladores'!M17)*'C.Recicladores'!F41)</f>
        <v>0</v>
      </c>
      <c r="F16" s="158">
        <f>+IF('C.Recicladores'!M18="",'C.Recicladores'!H16*'C.Recicladores'!H24,'C.Recicladores'!M18*'C.Recicladores'!F42)</f>
        <v>0</v>
      </c>
      <c r="H16" s="158">
        <f>+IF(AND('C.Prestador'!M16="",'C.Prestador'!M17=""),'C.Prestador'!F16*'C.Prestador'!F24,IF('C.Prestador'!M16="",0,'C.Prestador'!M16)*'C.Prestador'!F40+IF('C.Prestador'!M17="",0,'C.Prestador'!M17)*'C.Prestador'!F41)</f>
        <v>0</v>
      </c>
      <c r="I16" s="158">
        <f>+IF('C.Prestador'!M18="",'C.Prestador'!H16*'C.Prestador'!H24,'C.Prestador'!M18*'C.Prestador'!F42)</f>
        <v>0</v>
      </c>
      <c r="K16" s="159">
        <f>+IF(AND('C.Recicladores'!M16="",'C.Recicladores'!M17=""),'C.Recicladores'!F16*'C.Recicladores'!F24,IF('C.Recicladores'!M16="",0,'C.Recicladores'!M16)*'C.Recicladores'!F40+IF('C.Recicladores'!M17="",0,'C.Recicladores'!M17)*'C.Recicladores'!F41)</f>
        <v>0</v>
      </c>
      <c r="L16" s="159">
        <f>+IF('C.Recicladores'!M18="",'C.Recicladores'!H16*'C.Recicladores'!H24,'C.Recicladores'!M18*'C.Recicladores'!F42)</f>
        <v>0</v>
      </c>
    </row>
    <row r="17" spans="1:16" s="159" customFormat="1" x14ac:dyDescent="0.25">
      <c r="A17" s="157" t="s">
        <v>134</v>
      </c>
      <c r="B17" s="158">
        <f>+IF(AND('C.Prestador'!M19="",'C.Prestador'!M20="",'C.Prestador'!M21=""),'C.Prestador'!F17*'C.Prestador'!F24,IF('C.Prestador'!M19="",0,'C.Prestador'!M19)*'C.Prestador'!F40+IF('C.Prestador'!M20="",0,'C.Prestador'!M20)*'C.Prestador'!F41+IF('C.Prestador'!M21="",0,'C.Prestador'!M21)*'C.Prestador'!F42)</f>
        <v>0</v>
      </c>
      <c r="C17" s="158">
        <v>0</v>
      </c>
      <c r="E17" s="158">
        <f>+IF(AND('C.Recicladores'!M19="",'C.Recicladores'!M20="",'C.Recicladores'!M21=""),'C.Recicladores'!F17*'C.Recicladores'!F24,IF('C.Recicladores'!M19="",0,'C.Recicladores'!M19)*'C.Recicladores'!F40+IF('C.Recicladores'!M20="",0,'C.Recicladores'!M20)*'C.Recicladores'!F41+IF('C.Recicladores'!M21="",0,'C.Recicladores'!M21)*'C.Recicladores'!F42)</f>
        <v>0</v>
      </c>
      <c r="F17" s="158">
        <v>0</v>
      </c>
      <c r="H17" s="158">
        <f>+IF(AND('C.Prestador'!M19="",'C.Prestador'!M20="",'C.Prestador'!M21=""),'C.Prestador'!F17*'C.Prestador'!F24,IF('C.Prestador'!M19="",0,'C.Prestador'!M19)*'C.Prestador'!F40+IF('C.Prestador'!M20="",0,'C.Prestador'!M20)*'C.Prestador'!F41+IF('C.Prestador'!M21="",0,'C.Prestador'!M21)*'C.Prestador'!F42)</f>
        <v>0</v>
      </c>
      <c r="I17" s="158">
        <v>0</v>
      </c>
      <c r="K17" s="159">
        <f>+IF(AND('C.Recicladores'!M19="",'C.Recicladores'!M20="",'C.Recicladores'!M21=""),'C.Recicladores'!F17*'C.Recicladores'!F24,IF('C.Recicladores'!M19="",0,'C.Recicladores'!M19)*'C.Recicladores'!F40+IF('C.Recicladores'!M20="",0,'C.Recicladores'!M20)*'C.Recicladores'!F41+IF('C.Recicladores'!M21="",0,'C.Recicladores'!M21)*'C.Recicladores'!F42)</f>
        <v>0</v>
      </c>
      <c r="L17" s="159">
        <v>0</v>
      </c>
    </row>
    <row r="18" spans="1:16" s="159" customFormat="1" x14ac:dyDescent="0.25">
      <c r="A18" s="157" t="s">
        <v>159</v>
      </c>
      <c r="B18" s="158">
        <f>+IF('C.Prestador'!M22="",'C.Prestador'!F18,'C.Prestador'!M22)</f>
        <v>0</v>
      </c>
      <c r="C18" s="158">
        <v>0</v>
      </c>
      <c r="E18" s="158">
        <f>+IF('C.Recicladores'!M22="",'C.Recicladores'!F18,'C.Recicladores'!M22)</f>
        <v>0</v>
      </c>
      <c r="F18" s="158">
        <v>0</v>
      </c>
      <c r="H18" s="158">
        <f>+IF('C.Prestador'!M22="",'C.Prestador'!F18,'C.Prestador'!M22)</f>
        <v>0</v>
      </c>
      <c r="I18" s="158">
        <v>0</v>
      </c>
      <c r="K18" s="159">
        <f>+IF('C.Recicladores'!M22="",'C.Recicladores'!F18,'C.Recicladores'!M22)</f>
        <v>0</v>
      </c>
      <c r="L18" s="159">
        <v>0</v>
      </c>
    </row>
    <row r="19" spans="1:16" x14ac:dyDescent="0.25">
      <c r="A19" s="78" t="s">
        <v>518</v>
      </c>
      <c r="B19" s="156">
        <f>+'C.Prestador'!H44</f>
        <v>0</v>
      </c>
      <c r="C19" s="156"/>
      <c r="D19" s="156"/>
      <c r="E19" s="156">
        <f>+'C.Recicladores'!H44</f>
        <v>0</v>
      </c>
      <c r="F19" s="156"/>
      <c r="G19" s="156"/>
      <c r="H19" s="156">
        <f>+'C.Prestador'!H44</f>
        <v>0</v>
      </c>
      <c r="I19" s="156"/>
      <c r="J19" s="156"/>
      <c r="K19" s="156">
        <f>+'C.Recicladores'!H44</f>
        <v>0</v>
      </c>
      <c r="L19" s="156"/>
      <c r="M19" s="156"/>
      <c r="N19" s="156"/>
      <c r="O19" s="156"/>
    </row>
    <row r="23" spans="1:16" x14ac:dyDescent="0.25">
      <c r="A23" t="s">
        <v>389</v>
      </c>
      <c r="B23" s="76">
        <f>+'C.Prestador'!C114</f>
        <v>0</v>
      </c>
      <c r="E23" s="76">
        <f>+'C.Prestador'!C114</f>
        <v>0</v>
      </c>
      <c r="H23" s="76">
        <f>+'C.Recicladores'!C114</f>
        <v>0</v>
      </c>
      <c r="K23" s="76">
        <f>+'C.Recicladores'!C114</f>
        <v>0</v>
      </c>
    </row>
    <row r="24" spans="1:16" x14ac:dyDescent="0.25">
      <c r="A24" t="s">
        <v>390</v>
      </c>
      <c r="B24" s="76">
        <f>+'C.Prestador'!C113</f>
        <v>0</v>
      </c>
      <c r="C24" s="29"/>
      <c r="E24" s="76">
        <f>+'C.Prestador'!C113</f>
        <v>0</v>
      </c>
      <c r="H24" s="76" t="e">
        <f>+tmescen</f>
        <v>#DIV/0!</v>
      </c>
      <c r="K24" s="76" t="e">
        <f>+tmescen</f>
        <v>#DIV/0!</v>
      </c>
    </row>
    <row r="25" spans="1:16" x14ac:dyDescent="0.25">
      <c r="A25" t="s">
        <v>392</v>
      </c>
      <c r="B25" s="76" t="e">
        <f>+SUM(B26:B28)</f>
        <v>#DIV/0!</v>
      </c>
      <c r="C25" s="76"/>
      <c r="E25" s="76" t="e">
        <f>+SUM(E26:E28)</f>
        <v>#DIV/0!</v>
      </c>
      <c r="H25" s="76" t="e">
        <f>+SUM(H26:H28)</f>
        <v>#DIV/0!</v>
      </c>
      <c r="K25" s="76" t="e">
        <f>+SUM(K26:K28)</f>
        <v>#DIV/0!</v>
      </c>
    </row>
    <row r="26" spans="1:16" s="159" customFormat="1" x14ac:dyDescent="0.25">
      <c r="A26" s="157" t="s">
        <v>391</v>
      </c>
      <c r="B26" s="160" t="e">
        <f>+'C.Prestador'!G134</f>
        <v>#DIV/0!</v>
      </c>
      <c r="C26" s="160"/>
      <c r="E26" s="160" t="e">
        <f>+'C.Prestador'!G134</f>
        <v>#DIV/0!</v>
      </c>
      <c r="H26" s="160" t="e">
        <f>+'C.Recicladores'!G134</f>
        <v>#DIV/0!</v>
      </c>
      <c r="K26" s="160" t="e">
        <f>+'C.Recicladores'!G134</f>
        <v>#DIV/0!</v>
      </c>
    </row>
    <row r="27" spans="1:16" s="159" customFormat="1" x14ac:dyDescent="0.25">
      <c r="A27" s="157" t="s">
        <v>159</v>
      </c>
      <c r="B27" s="160">
        <f>+'C.Prestador'!G135</f>
        <v>0</v>
      </c>
      <c r="C27" s="160"/>
      <c r="E27" s="160">
        <f>+'C.Prestador'!G135</f>
        <v>0</v>
      </c>
      <c r="H27" s="160">
        <f>+'C.Recicladores'!G135</f>
        <v>0</v>
      </c>
      <c r="K27" s="160">
        <f>+'C.Recicladores'!G135</f>
        <v>0</v>
      </c>
    </row>
    <row r="28" spans="1:16" s="159" customFormat="1" x14ac:dyDescent="0.25">
      <c r="A28" s="157" t="s">
        <v>393</v>
      </c>
      <c r="B28" s="160">
        <f>+'C.Prestador'!G136</f>
        <v>0</v>
      </c>
      <c r="C28" s="160"/>
      <c r="E28" s="160">
        <f>+'C.Prestador'!G136</f>
        <v>0</v>
      </c>
      <c r="H28" s="160">
        <f>+'C.Recicladores'!G136</f>
        <v>0</v>
      </c>
      <c r="K28" s="160">
        <f>+'C.Recicladores'!G136</f>
        <v>0</v>
      </c>
    </row>
    <row r="29" spans="1:16" s="159" customFormat="1" x14ac:dyDescent="0.25">
      <c r="A29" s="78" t="s">
        <v>519</v>
      </c>
      <c r="B29" s="164">
        <f>+'C.Prestador'!H128</f>
        <v>0</v>
      </c>
      <c r="C29" s="164"/>
      <c r="D29" s="164"/>
      <c r="E29" s="164">
        <f>+'C.Prestador'!H128</f>
        <v>0</v>
      </c>
      <c r="F29" s="164"/>
      <c r="G29" s="164"/>
      <c r="H29" s="164">
        <f>+'C.Recicladores'!H128</f>
        <v>0</v>
      </c>
      <c r="I29" s="164"/>
      <c r="J29" s="164"/>
      <c r="K29" s="164">
        <f>+'C.Recicladores'!H128</f>
        <v>0</v>
      </c>
      <c r="L29" s="164"/>
      <c r="M29" s="164"/>
      <c r="N29" s="164"/>
      <c r="O29" s="164"/>
      <c r="P29" s="164"/>
    </row>
    <row r="30" spans="1:16" s="159" customFormat="1" ht="30" x14ac:dyDescent="0.25">
      <c r="A30" s="78" t="s">
        <v>483</v>
      </c>
      <c r="B30" s="164">
        <f>+'C.Prestador'!H128</f>
        <v>0</v>
      </c>
      <c r="C30" s="160"/>
      <c r="E30" s="164">
        <f>+'C.Prestador'!H128</f>
        <v>0</v>
      </c>
      <c r="H30" s="164">
        <f>+'C.Recicladores'!H128</f>
        <v>0</v>
      </c>
      <c r="K30" s="164">
        <f>+'C.Recicladores'!H128</f>
        <v>0</v>
      </c>
    </row>
    <row r="31" spans="1:16" x14ac:dyDescent="0.25">
      <c r="A31" s="52"/>
      <c r="B31" s="52"/>
      <c r="C31" s="52"/>
      <c r="D31" s="52"/>
      <c r="E31" s="52"/>
      <c r="F31" s="52"/>
    </row>
    <row r="32" spans="1:16" ht="75" x14ac:dyDescent="0.25">
      <c r="A32" s="77" t="s">
        <v>394</v>
      </c>
      <c r="B32" s="52" t="s">
        <v>396</v>
      </c>
      <c r="C32" s="52"/>
      <c r="D32" s="52"/>
      <c r="E32" s="161">
        <f>+E15</f>
        <v>0</v>
      </c>
      <c r="F32" s="52"/>
      <c r="H32" s="76" t="e">
        <f>+H25</f>
        <v>#DIV/0!</v>
      </c>
      <c r="K32" s="76" t="e">
        <f>+K25+K15</f>
        <v>#DIV/0!</v>
      </c>
    </row>
    <row r="33" spans="1:14" x14ac:dyDescent="0.25">
      <c r="A33" s="52"/>
      <c r="B33" s="52"/>
      <c r="C33" s="52"/>
      <c r="D33" s="52"/>
      <c r="E33" s="52"/>
      <c r="F33" s="52"/>
    </row>
    <row r="34" spans="1:14" x14ac:dyDescent="0.25">
      <c r="A34" s="52"/>
      <c r="B34" s="52"/>
      <c r="C34" s="52"/>
      <c r="D34" s="52"/>
      <c r="E34" s="52"/>
      <c r="F34" s="52"/>
    </row>
    <row r="35" spans="1:14" s="79" customFormat="1" ht="21" x14ac:dyDescent="0.35">
      <c r="A35" s="79" t="s">
        <v>481</v>
      </c>
      <c r="N35"/>
    </row>
    <row r="37" spans="1:14" ht="18.75" x14ac:dyDescent="0.3">
      <c r="B37" s="84" t="s">
        <v>404</v>
      </c>
      <c r="C37" s="84"/>
    </row>
    <row r="38" spans="1:14" ht="18.75" x14ac:dyDescent="0.3">
      <c r="B38" s="84"/>
      <c r="C38" s="84"/>
    </row>
    <row r="39" spans="1:14" x14ac:dyDescent="0.25">
      <c r="A39" t="s">
        <v>485</v>
      </c>
      <c r="B39" s="175">
        <f>+SUMIF(B40:B43,"&gt;0",B40:B43)</f>
        <v>0</v>
      </c>
      <c r="C39" s="63"/>
      <c r="E39" s="175">
        <f>+SUMIF(E40:E43,"&gt;0",E40:E43)</f>
        <v>0</v>
      </c>
      <c r="H39" s="175">
        <f>+SUMIF(H40:H43,"&gt;0",H40:H43)</f>
        <v>0</v>
      </c>
      <c r="K39" s="175">
        <f>+SUMIF(K40:K43,"&gt;0",K40:K43)</f>
        <v>0</v>
      </c>
    </row>
    <row r="40" spans="1:14" x14ac:dyDescent="0.25">
      <c r="A40" t="s">
        <v>401</v>
      </c>
      <c r="B40" s="156" t="e">
        <f>+'C.Prestador'!C197/Cálculos!G15</f>
        <v>#DIV/0!</v>
      </c>
      <c r="C40" s="29"/>
      <c r="E40" s="96" t="e">
        <f>+'C.Prestador'!C197/Cálculos!G15</f>
        <v>#DIV/0!</v>
      </c>
      <c r="H40" s="156" t="e">
        <f>+'C.Recicladores'!C197/tonmes</f>
        <v>#DIV/0!</v>
      </c>
      <c r="K40" s="156" t="e">
        <f>+'C.Recicladores'!C197/tonmes</f>
        <v>#DIV/0!</v>
      </c>
    </row>
    <row r="41" spans="1:14" x14ac:dyDescent="0.25">
      <c r="A41" t="s">
        <v>81</v>
      </c>
      <c r="B41" s="156">
        <f>+'Datos Prestador'!G286</f>
        <v>0</v>
      </c>
      <c r="E41" s="96">
        <f>+'Datos Recicladores'!G287</f>
        <v>0</v>
      </c>
      <c r="H41" s="156">
        <f>+'Datos Prestador'!G286</f>
        <v>0</v>
      </c>
      <c r="K41" s="156">
        <f>+'Datos Recicladores'!G287</f>
        <v>0</v>
      </c>
    </row>
    <row r="42" spans="1:14" x14ac:dyDescent="0.25">
      <c r="A42" t="s">
        <v>402</v>
      </c>
      <c r="B42" s="156">
        <f>+'Datos Prestador'!N286</f>
        <v>0</v>
      </c>
      <c r="E42" s="96">
        <f>+'Datos Prestador'!N286</f>
        <v>0</v>
      </c>
      <c r="H42" s="156">
        <f>+'Datos Recicladores'!N287</f>
        <v>0</v>
      </c>
      <c r="K42" s="156">
        <f>+'Datos Recicladores'!N287</f>
        <v>0</v>
      </c>
    </row>
    <row r="43" spans="1:14" x14ac:dyDescent="0.25">
      <c r="A43" t="s">
        <v>482</v>
      </c>
      <c r="B43" s="156">
        <v>0</v>
      </c>
      <c r="E43" s="96" t="e">
        <f>+('C.Recicladores'!F220+'C.Recicladores'!F219)/Cálculos!G15</f>
        <v>#DIV/0!</v>
      </c>
      <c r="H43" s="156" t="e">
        <f>+('C.Recicladores'!F219+'C.Recicladores'!F221)/Cálculos!G15</f>
        <v>#DIV/0!</v>
      </c>
      <c r="K43" s="156" t="e">
        <f>+('C.Recicladores'!F219+'C.Recicladores'!F220+'C.Recicladores'!F221)/Cálculos!G15</f>
        <v>#DIV/0!</v>
      </c>
    </row>
    <row r="44" spans="1:14" x14ac:dyDescent="0.25">
      <c r="B44" s="156"/>
      <c r="E44" s="156"/>
      <c r="H44" s="156"/>
      <c r="K44" s="156"/>
    </row>
    <row r="45" spans="1:14" x14ac:dyDescent="0.25">
      <c r="A45" t="s">
        <v>486</v>
      </c>
      <c r="B45" s="175">
        <f>+SUMIF(B46:B48,"&gt;0",B46:B48)</f>
        <v>0</v>
      </c>
      <c r="C45" s="63"/>
      <c r="E45" s="175">
        <f>+SUMIF(E46:E48,"&gt;0",E46:E48)</f>
        <v>0</v>
      </c>
      <c r="H45" s="175">
        <f>+SUMIF(H46:H48,"&gt;0",H46:H48)</f>
        <v>0</v>
      </c>
      <c r="K45" s="175">
        <f>+SUMIF(K46:K48,"&gt;0",K46:K48)</f>
        <v>0</v>
      </c>
    </row>
    <row r="46" spans="1:14" x14ac:dyDescent="0.25">
      <c r="A46" t="s">
        <v>81</v>
      </c>
      <c r="B46" s="156" t="e">
        <f>'C.Prestador'!F91/'C.Prestador'!C20</f>
        <v>#DIV/0!</v>
      </c>
      <c r="C46" s="29"/>
      <c r="E46" s="156" t="e">
        <f>+'C.Recicladores'!F91/'C.Recicladores'!C20</f>
        <v>#DIV/0!</v>
      </c>
      <c r="H46" s="96" t="e">
        <f>+'C.Prestador'!F91/'C.Prestador'!C20</f>
        <v>#DIV/0!</v>
      </c>
      <c r="K46" s="156" t="e">
        <f>+'C.Recicladores'!F91/'C.Recicladores'!C20</f>
        <v>#DIV/0!</v>
      </c>
    </row>
    <row r="47" spans="1:14" x14ac:dyDescent="0.25">
      <c r="A47" t="s">
        <v>402</v>
      </c>
      <c r="B47" s="156" t="e">
        <f>+'C.Prestador'!F178/'C.Prestador'!C20</f>
        <v>#DIV/0!</v>
      </c>
      <c r="C47" s="29"/>
      <c r="E47" s="156" t="e">
        <f>+'C.Prestador'!F178/'C.Recicladores'!C20</f>
        <v>#DIV/0!</v>
      </c>
      <c r="H47" s="96" t="e">
        <f>+'C.Recicladores'!F178/'C.Prestador'!C20</f>
        <v>#DIV/0!</v>
      </c>
      <c r="K47" s="156" t="e">
        <f>+'C.Recicladores'!F178/'C.Recicladores'!C20</f>
        <v>#DIV/0!</v>
      </c>
    </row>
    <row r="48" spans="1:14" x14ac:dyDescent="0.25">
      <c r="A48" t="s">
        <v>405</v>
      </c>
      <c r="B48" s="156"/>
      <c r="C48" s="29"/>
      <c r="E48" s="156" t="e">
        <f>+'C.Prestador'!F197/Cálculos!G15</f>
        <v>#DIV/0!</v>
      </c>
      <c r="H48" s="96" t="e">
        <f>+'C.Recicladores'!F197/Cálculos!G15</f>
        <v>#DIV/0!</v>
      </c>
      <c r="K48" s="156"/>
    </row>
    <row r="49" spans="1:13" x14ac:dyDescent="0.25">
      <c r="A49" s="85" t="s">
        <v>487</v>
      </c>
      <c r="B49" s="176">
        <f>+B39-B45</f>
        <v>0</v>
      </c>
      <c r="C49" s="86"/>
      <c r="D49" s="85"/>
      <c r="E49" s="176">
        <f>+E39-E45</f>
        <v>0</v>
      </c>
      <c r="F49" s="85"/>
      <c r="G49" s="85"/>
      <c r="H49" s="177">
        <f>+H39-H45</f>
        <v>0</v>
      </c>
      <c r="I49" s="85"/>
      <c r="J49" s="85"/>
      <c r="K49" s="177">
        <f>+K39-K45</f>
        <v>0</v>
      </c>
      <c r="L49" s="85"/>
      <c r="M49" s="85"/>
    </row>
    <row r="50" spans="1:13" x14ac:dyDescent="0.25">
      <c r="A50" s="85" t="s">
        <v>416</v>
      </c>
      <c r="B50" s="86" t="str">
        <f>+IF(B49&gt;=0,"Cubre costos","No cubre costos")</f>
        <v>Cubre costos</v>
      </c>
      <c r="C50" s="86"/>
      <c r="D50" s="85"/>
      <c r="E50" s="176" t="str">
        <f>+IF(E49&gt;=0,"Cubre costos","No cubre costos")</f>
        <v>Cubre costos</v>
      </c>
      <c r="F50" s="85"/>
      <c r="G50" s="85"/>
      <c r="H50" s="86" t="str">
        <f>+IF(H49&gt;=0,"Cubre costos","No cubre costos")</f>
        <v>Cubre costos</v>
      </c>
      <c r="I50" s="85"/>
      <c r="J50" s="85"/>
      <c r="K50" s="86" t="str">
        <f>+IF(K49&gt;=0,"Cubre costos","No cubre costos")</f>
        <v>Cubre costos</v>
      </c>
      <c r="L50" s="85"/>
      <c r="M50" s="85"/>
    </row>
    <row r="51" spans="1:13" x14ac:dyDescent="0.25">
      <c r="H51" s="2"/>
    </row>
    <row r="54" spans="1:13" x14ac:dyDescent="0.25">
      <c r="A54" s="10" t="s">
        <v>499</v>
      </c>
    </row>
    <row r="55" spans="1:13" ht="18.75" x14ac:dyDescent="0.3">
      <c r="B55" s="84" t="str">
        <f>+IF(B93=TRUE,B1,"")</f>
        <v>Línea Base</v>
      </c>
      <c r="C55" s="84" t="str">
        <f>+IF(B94=TRUE,E1,"")</f>
        <v>Escenario 1</v>
      </c>
      <c r="D55" s="84" t="str">
        <f>+IF(B95=TRUE,H1,"")</f>
        <v>Escenario 2</v>
      </c>
      <c r="E55" s="84" t="str">
        <f>+IF(B96=TRUE,K1,"")</f>
        <v>Escenario 3</v>
      </c>
    </row>
    <row r="56" spans="1:13" x14ac:dyDescent="0.25">
      <c r="A56" t="s">
        <v>485</v>
      </c>
      <c r="B56" s="96">
        <f>+IF(B93=TRUE,B39,"")</f>
        <v>0</v>
      </c>
      <c r="C56" s="96">
        <f>+IF(B94=TRUE,E39,"")</f>
        <v>0</v>
      </c>
      <c r="D56" s="96">
        <f>+IF(B95=TRUE,H39,"")</f>
        <v>0</v>
      </c>
      <c r="E56" s="96">
        <f>+IF(B96=TRUE,K39,"")</f>
        <v>0</v>
      </c>
      <c r="K56" s="29"/>
    </row>
    <row r="57" spans="1:13" x14ac:dyDescent="0.25">
      <c r="A57" s="34" t="s">
        <v>486</v>
      </c>
      <c r="B57" s="96">
        <f>+IF(B93=TRUE,B45,"")</f>
        <v>0</v>
      </c>
      <c r="C57" s="96">
        <f>+IF(B94=TRUE,E45,"")</f>
        <v>0</v>
      </c>
      <c r="D57" s="96">
        <f>+IF(B95=TRUE,H45,"")</f>
        <v>0</v>
      </c>
      <c r="E57" s="96">
        <f>+IF(B96=TRUE,K45,"")</f>
        <v>0</v>
      </c>
      <c r="F57" s="10"/>
      <c r="G57" s="10"/>
      <c r="H57" s="63"/>
      <c r="I57" s="10"/>
      <c r="J57" s="10"/>
      <c r="K57" s="63"/>
      <c r="L57" s="10"/>
    </row>
    <row r="58" spans="1:13" x14ac:dyDescent="0.25">
      <c r="A58" t="s">
        <v>487</v>
      </c>
      <c r="B58" s="96">
        <f>+IF(B93=TRUE,B49,"")</f>
        <v>0</v>
      </c>
      <c r="C58" s="96">
        <f>+IF(B94=TRUE,E49,"")</f>
        <v>0</v>
      </c>
      <c r="D58" s="96">
        <f>+IF(B95=TRUE,H49,"")</f>
        <v>0</v>
      </c>
      <c r="E58" s="96">
        <f>+IF(B96=TRUE,K49,"")</f>
        <v>0</v>
      </c>
      <c r="H58" s="2"/>
      <c r="K58" s="29"/>
    </row>
    <row r="59" spans="1:13" x14ac:dyDescent="0.25">
      <c r="E59" s="2"/>
      <c r="H59" s="2"/>
      <c r="K59" s="29"/>
    </row>
    <row r="60" spans="1:13" x14ac:dyDescent="0.25">
      <c r="E60" s="2"/>
      <c r="H60" s="2"/>
      <c r="K60" s="29"/>
    </row>
    <row r="61" spans="1:13" x14ac:dyDescent="0.25">
      <c r="A61" t="s">
        <v>500</v>
      </c>
      <c r="B61" t="str">
        <f>+B55</f>
        <v>Línea Base</v>
      </c>
      <c r="C61" t="str">
        <f>+C55</f>
        <v>Escenario 1</v>
      </c>
      <c r="D61" t="str">
        <f>+D55</f>
        <v>Escenario 2</v>
      </c>
      <c r="E61" t="str">
        <f>+E55</f>
        <v>Escenario 3</v>
      </c>
      <c r="H61" s="2"/>
      <c r="K61" s="29"/>
    </row>
    <row r="62" spans="1:13" x14ac:dyDescent="0.25">
      <c r="A62" t="str">
        <f>+A19</f>
        <v>Recolección y transporte ($)</v>
      </c>
      <c r="B62" s="96">
        <f>+IF(B93=TRUE,B19,"")</f>
        <v>0</v>
      </c>
      <c r="C62" s="96">
        <f>+IF(B94=TRUE,E19,"")</f>
        <v>0</v>
      </c>
      <c r="D62" s="96">
        <f>+IF(B95=TRUE,H19,"")</f>
        <v>0</v>
      </c>
      <c r="E62" s="96">
        <f>+IF(B96=TRUE,K19,"")</f>
        <v>0</v>
      </c>
      <c r="H62" s="2"/>
      <c r="K62" s="29"/>
    </row>
    <row r="63" spans="1:13" x14ac:dyDescent="0.25">
      <c r="A63" t="str">
        <f>+A29</f>
        <v>Centro de acopio ($)</v>
      </c>
      <c r="B63" s="96">
        <f>+IF(B93=TRUE,B29,"")</f>
        <v>0</v>
      </c>
      <c r="C63" s="96">
        <f>+IF(B94=TRUE,E29,"")</f>
        <v>0</v>
      </c>
      <c r="D63" s="96">
        <f>+IF(B95=TRUE,H29,"")</f>
        <v>0</v>
      </c>
      <c r="E63" s="96">
        <f>+IF(B96=TRUE,K29,"")</f>
        <v>0</v>
      </c>
    </row>
    <row r="64" spans="1:13" x14ac:dyDescent="0.25">
      <c r="A64" s="10"/>
      <c r="B64" s="10"/>
      <c r="C64" s="10"/>
      <c r="D64" s="10"/>
      <c r="E64" s="63"/>
      <c r="F64" s="10"/>
      <c r="G64" s="10"/>
      <c r="H64" s="63"/>
      <c r="I64" s="10"/>
      <c r="J64" s="10"/>
      <c r="K64" s="63"/>
      <c r="L64" s="10"/>
    </row>
    <row r="65" spans="1:12" x14ac:dyDescent="0.25">
      <c r="E65" s="88"/>
      <c r="H65" s="63"/>
      <c r="K65" s="88"/>
    </row>
    <row r="66" spans="1:12" x14ac:dyDescent="0.25">
      <c r="H66" s="2"/>
      <c r="K66" s="29"/>
    </row>
    <row r="67" spans="1:12" x14ac:dyDescent="0.25">
      <c r="H67" s="2"/>
    </row>
    <row r="68" spans="1:12" s="619" customFormat="1" ht="45" customHeight="1" x14ac:dyDescent="0.35">
      <c r="A68" s="79"/>
      <c r="E68" s="620"/>
      <c r="H68" s="620"/>
      <c r="K68" s="620"/>
    </row>
    <row r="69" spans="1:12" x14ac:dyDescent="0.25">
      <c r="A69" s="85"/>
      <c r="B69" s="85"/>
      <c r="C69" s="85"/>
      <c r="D69" s="85"/>
      <c r="E69" s="86"/>
      <c r="F69" s="85"/>
      <c r="G69" s="85"/>
      <c r="H69" s="86"/>
      <c r="I69" s="85"/>
      <c r="J69" s="85"/>
      <c r="K69" s="86"/>
      <c r="L69" s="85"/>
    </row>
    <row r="71" spans="1:12" ht="18.75" x14ac:dyDescent="0.3">
      <c r="B71" s="84"/>
      <c r="C71" s="84"/>
    </row>
    <row r="72" spans="1:12" ht="18.75" x14ac:dyDescent="0.3">
      <c r="B72" s="84"/>
      <c r="C72" s="84"/>
    </row>
    <row r="73" spans="1:12" x14ac:dyDescent="0.25">
      <c r="B73" s="63"/>
      <c r="C73" s="63"/>
      <c r="E73" s="63"/>
      <c r="H73" s="63"/>
    </row>
    <row r="74" spans="1:12" x14ac:dyDescent="0.25">
      <c r="B74" s="29"/>
      <c r="C74" s="29"/>
      <c r="E74" s="2"/>
      <c r="H74" s="2"/>
    </row>
    <row r="75" spans="1:12" x14ac:dyDescent="0.25">
      <c r="B75" s="29"/>
    </row>
    <row r="76" spans="1:12" x14ac:dyDescent="0.25">
      <c r="B76" s="29"/>
    </row>
    <row r="79" spans="1:12" x14ac:dyDescent="0.25">
      <c r="B79" s="63"/>
      <c r="C79" s="63"/>
      <c r="E79" s="63"/>
      <c r="H79" s="63"/>
    </row>
    <row r="80" spans="1:12" x14ac:dyDescent="0.25">
      <c r="B80" s="29"/>
      <c r="C80" s="29"/>
      <c r="H80" s="2"/>
    </row>
    <row r="81" spans="1:12" x14ac:dyDescent="0.25">
      <c r="B81" s="29"/>
      <c r="C81" s="29"/>
      <c r="E81" s="2"/>
      <c r="H81" s="2"/>
    </row>
    <row r="82" spans="1:12" x14ac:dyDescent="0.25">
      <c r="B82" s="29"/>
      <c r="C82" s="29"/>
      <c r="E82" s="2"/>
      <c r="H82" s="2"/>
    </row>
    <row r="83" spans="1:12" x14ac:dyDescent="0.25">
      <c r="A83" s="85"/>
      <c r="B83" s="86"/>
      <c r="C83" s="86"/>
      <c r="D83" s="85"/>
      <c r="E83" s="86"/>
      <c r="F83" s="85"/>
      <c r="G83" s="85"/>
      <c r="H83" s="87"/>
      <c r="I83" s="85"/>
      <c r="J83" s="85"/>
      <c r="K83" s="85"/>
      <c r="L83" s="85"/>
    </row>
    <row r="84" spans="1:12" x14ac:dyDescent="0.25">
      <c r="A84" s="85"/>
      <c r="B84" s="86"/>
      <c r="C84" s="86"/>
      <c r="D84" s="85"/>
      <c r="E84" s="86"/>
      <c r="F84" s="85"/>
      <c r="G84" s="85"/>
      <c r="H84" s="86"/>
      <c r="I84" s="85"/>
      <c r="J84" s="85"/>
      <c r="K84" s="85"/>
      <c r="L84" s="85"/>
    </row>
    <row r="92" spans="1:12" x14ac:dyDescent="0.25">
      <c r="B92" t="s">
        <v>488</v>
      </c>
      <c r="C92" t="s">
        <v>489</v>
      </c>
      <c r="D92" t="s">
        <v>395</v>
      </c>
    </row>
    <row r="93" spans="1:12" x14ac:dyDescent="0.25">
      <c r="A93" t="s">
        <v>417</v>
      </c>
      <c r="B93" t="b">
        <v>1</v>
      </c>
      <c r="C93" s="156">
        <f>+IF(B93=TRUE,B45,90000000000)</f>
        <v>0</v>
      </c>
      <c r="D93" t="s">
        <v>417</v>
      </c>
      <c r="E93">
        <f>+IF(B93=TRUE,1,0)</f>
        <v>1</v>
      </c>
    </row>
    <row r="94" spans="1:12" x14ac:dyDescent="0.25">
      <c r="A94" t="s">
        <v>119</v>
      </c>
      <c r="B94" t="b">
        <v>1</v>
      </c>
      <c r="C94" s="156">
        <f>+IF(B94=TRUE,E45,90000000000)</f>
        <v>0</v>
      </c>
      <c r="D94" t="s">
        <v>119</v>
      </c>
      <c r="E94">
        <f>+IF(B94=TRUE,2,0)</f>
        <v>2</v>
      </c>
    </row>
    <row r="95" spans="1:12" x14ac:dyDescent="0.25">
      <c r="A95" t="s">
        <v>126</v>
      </c>
      <c r="B95" t="b">
        <v>1</v>
      </c>
      <c r="C95" s="156">
        <f>+IF(B95=TRUE,H45,90000000000)</f>
        <v>0</v>
      </c>
      <c r="D95" t="s">
        <v>126</v>
      </c>
      <c r="E95">
        <f>+IF(B95=TRUE,3,0)</f>
        <v>3</v>
      </c>
      <c r="F95" s="178"/>
    </row>
    <row r="96" spans="1:12" x14ac:dyDescent="0.25">
      <c r="A96" t="s">
        <v>127</v>
      </c>
      <c r="B96" t="b">
        <v>1</v>
      </c>
      <c r="C96" s="156">
        <f>+IF(B96=TRUE,K45,90000000000)</f>
        <v>0</v>
      </c>
      <c r="D96" t="s">
        <v>127</v>
      </c>
      <c r="E96">
        <f>+IF(B96=TRUE,4,0)</f>
        <v>4</v>
      </c>
    </row>
    <row r="97" spans="1:5" x14ac:dyDescent="0.25">
      <c r="B97">
        <f>+COUNTIF(B93:B96,TRUE)</f>
        <v>4</v>
      </c>
      <c r="E97">
        <f>+SUM(E93:E96)</f>
        <v>10</v>
      </c>
    </row>
    <row r="105" spans="1:5" s="79" customFormat="1" ht="21" x14ac:dyDescent="0.35">
      <c r="A105" s="79" t="s">
        <v>722</v>
      </c>
    </row>
    <row r="107" spans="1:5" x14ac:dyDescent="0.25">
      <c r="A107" s="10" t="s">
        <v>136</v>
      </c>
      <c r="B107" s="10" t="str">
        <f>+IF(B93=FALSE,"","Línea base")</f>
        <v>Línea base</v>
      </c>
      <c r="C107" s="10" t="e">
        <f>+IF(B94=FALSE,"",ESCENARIO1)</f>
        <v>#VALUE!</v>
      </c>
      <c r="D107" s="10" t="str">
        <f>+IF(B95=FALSE,"",A95)</f>
        <v>Escenario 2</v>
      </c>
      <c r="E107" s="10" t="str">
        <f>+IF(B96=FALSE,"",A96)</f>
        <v>Escenario 3</v>
      </c>
    </row>
    <row r="108" spans="1:5" x14ac:dyDescent="0.25">
      <c r="A108" t="s">
        <v>291</v>
      </c>
      <c r="B108" s="621">
        <f>+IF(B93=FALSE,"",IFERROR(('C.Prestador'!F85+'C.Prestador'!F171)/'C.Prestador'!$C$20,0))</f>
        <v>0</v>
      </c>
      <c r="C108" s="621" t="e">
        <f>+IF(B94=FALSE,"",('C.Recicladores'!F85+'C.Prestador'!F171)/ptmes)</f>
        <v>#DIV/0!</v>
      </c>
      <c r="D108" s="621" t="e">
        <f>+IF(B95=FALSE,"",'C.Prestador'!$F85/'C.Prestador'!$C$20+'C.Recicladores'!F171/tonmes)</f>
        <v>#DIV/0!</v>
      </c>
      <c r="E108" s="621" t="e">
        <f>+IF(B96=FALSE,"",('C.Recicladores'!F85+'C.Recicladores'!F171)/tonmes)</f>
        <v>#DIV/0!</v>
      </c>
    </row>
    <row r="109" spans="1:5" x14ac:dyDescent="0.25">
      <c r="A109" t="s">
        <v>290</v>
      </c>
      <c r="B109" s="621">
        <f>+IF(B93=FALSE,"",IFERROR(('C.Prestador'!F86+'C.Prestador'!F172)/'C.Prestador'!$C$20,0))</f>
        <v>0</v>
      </c>
      <c r="C109" s="621" t="e">
        <f>+IF(B94=FALSE,"",('C.Recicladores'!F86+'C.Prestador'!F172)/ptmes)</f>
        <v>#DIV/0!</v>
      </c>
      <c r="D109" s="621" t="e">
        <f>IF(B95=FALSE,"",'C.Prestador'!$F86/'C.Prestador'!$C$20+'C.Recicladores'!F172/tonmes)</f>
        <v>#DIV/0!</v>
      </c>
      <c r="E109" s="621" t="e">
        <f>+IF(B96=FALSE,"",('C.Recicladores'!F86+'C.Recicladores'!F172)/tonmes)</f>
        <v>#DIV/0!</v>
      </c>
    </row>
    <row r="110" spans="1:5" x14ac:dyDescent="0.25">
      <c r="A110" t="s">
        <v>292</v>
      </c>
      <c r="B110" s="621">
        <f>+IF(B93=FALSE,"",IFERROR(('C.Prestador'!F87+'C.Prestador'!F173)/'C.Prestador'!$C$20,0))</f>
        <v>0</v>
      </c>
      <c r="C110" s="621" t="e">
        <f>+IF(B94=FALSE,"",('C.Recicladores'!F87+'C.Prestador'!F173)/ptmes)</f>
        <v>#DIV/0!</v>
      </c>
      <c r="D110" s="621" t="e">
        <f>IF(B95=FALSE,"",'C.Prestador'!$F87/'C.Prestador'!$C$20+'C.Recicladores'!F173/tonmes)</f>
        <v>#DIV/0!</v>
      </c>
      <c r="E110" s="621" t="e">
        <f>+IF(B96=FALSE,"",('C.Recicladores'!F87+'C.Recicladores'!F173)/tonmes)</f>
        <v>#DIV/0!</v>
      </c>
    </row>
    <row r="111" spans="1:5" x14ac:dyDescent="0.25">
      <c r="A111" t="s">
        <v>293</v>
      </c>
      <c r="B111" s="621">
        <f>+IF(B93=FALSE,"",IFERROR(('C.Prestador'!F88+'C.Prestador'!F174)/'C.Prestador'!$C$20,0))</f>
        <v>0</v>
      </c>
      <c r="C111" s="621" t="e">
        <f>+IF(B94=FALSE,"",('C.Recicladores'!F88+'C.Prestador'!F174)/ptmes)</f>
        <v>#DIV/0!</v>
      </c>
      <c r="D111" s="621" t="e">
        <f>IF(B95=FALSE,"",'C.Prestador'!$F88/'C.Prestador'!$C$20+'C.Recicladores'!F174/tonmes)</f>
        <v>#DIV/0!</v>
      </c>
      <c r="E111" s="621" t="e">
        <f>+IF(B96=FALSE,"",('C.Recicladores'!F88+'C.Recicladores'!F174)/tonmes)</f>
        <v>#DIV/0!</v>
      </c>
    </row>
    <row r="112" spans="1:5" x14ac:dyDescent="0.25">
      <c r="A112" t="s">
        <v>208</v>
      </c>
      <c r="B112" s="621">
        <f>+IF(B93=FALSE,"",IFERROR(('C.Prestador'!F89+'C.Prestador'!F175)/'C.Prestador'!$C$20,0))</f>
        <v>0</v>
      </c>
      <c r="C112" s="621" t="e">
        <f>+IF(B94=FALSE,"",('C.Recicladores'!F89+'C.Prestador'!F175)/ptmes)</f>
        <v>#DIV/0!</v>
      </c>
      <c r="D112" s="621" t="e">
        <f>IF(B95=FALSE,"",'C.Prestador'!$F89/'C.Prestador'!$C$20+'C.Recicladores'!F175/tonmes)</f>
        <v>#DIV/0!</v>
      </c>
      <c r="E112" s="621" t="e">
        <f>+IF(B96=FALSE,"",('C.Recicladores'!F89+'C.Recicladores'!F175)/tonmes)</f>
        <v>#DIV/0!</v>
      </c>
    </row>
    <row r="113" spans="1:5" x14ac:dyDescent="0.25">
      <c r="A113" t="s">
        <v>294</v>
      </c>
      <c r="B113" s="621">
        <f>+IF(B93=FALSE,"",IFERROR(('C.Prestador'!F90+'C.Prestador'!F176)/'C.Prestador'!$C$20,0))</f>
        <v>0</v>
      </c>
      <c r="C113" s="621" t="e">
        <f>+IF(B94=FALSE,"",('C.Recicladores'!F90+'C.Prestador'!F176)/ptmes)</f>
        <v>#DIV/0!</v>
      </c>
      <c r="D113" s="621" t="e">
        <f>IF(B95=FALSE,"",'C.Prestador'!$F90/'C.Prestador'!$C$20+'C.Recicladores'!F176/tonmes)</f>
        <v>#DIV/0!</v>
      </c>
      <c r="E113" s="621" t="e">
        <f>+IF(B96=FALSE,"",('C.Recicladores'!F90+'C.Recicladores'!F176)/tonmes)</f>
        <v>#DIV/0!</v>
      </c>
    </row>
    <row r="114" spans="1:5" x14ac:dyDescent="0.25">
      <c r="A114" t="s">
        <v>409</v>
      </c>
      <c r="B114" s="621">
        <f>+IF(B93=FALSE,"",0)</f>
        <v>0</v>
      </c>
      <c r="C114" s="621">
        <f>+IF(B94=FALSE,"",Resultados!H66)</f>
        <v>0</v>
      </c>
      <c r="D114" s="621">
        <f>+IF(B95=FALSE,"",Resultados!K66)</f>
        <v>0</v>
      </c>
      <c r="E114" s="621">
        <f>+IF(B96=FALSE,"",0)</f>
        <v>0</v>
      </c>
    </row>
    <row r="115" spans="1:5" x14ac:dyDescent="0.25">
      <c r="A115" t="s">
        <v>9</v>
      </c>
      <c r="B115" s="621">
        <f>+IF(B93=FALSE,"",SUM(B108:B113))</f>
        <v>0</v>
      </c>
      <c r="C115" s="621" t="e">
        <f>+IF(B94=FALSE,"",SUM(C108:C114))</f>
        <v>#DIV/0!</v>
      </c>
      <c r="D115" s="621" t="e">
        <f>IF(B95=FALSE,"",SUM(D108:D114))</f>
        <v>#DIV/0!</v>
      </c>
      <c r="E115" s="621" t="e">
        <f>+IF(B96=FALSE,"",SUM(E108:E114))</f>
        <v>#DIV/0!</v>
      </c>
    </row>
  </sheetData>
  <conditionalFormatting sqref="C134:R134">
    <cfRule type="expression" priority="5">
      <formula>AND(OR($B$93=TRUE,$B$94=TRUE),$B$95=FALSE,$B$96=FALSE)</formula>
    </cfRule>
  </conditionalFormatting>
  <conditionalFormatting sqref="F3:H3 F6:H10">
    <cfRule type="expression" dxfId="46" priority="4">
      <formula>$B$93=FALSE</formula>
    </cfRule>
  </conditionalFormatting>
  <conditionalFormatting sqref="N3:P3 N6:P10 P4:P5">
    <cfRule type="expression" dxfId="45" priority="2">
      <formula>"'Resultados Oc'!$B$94=FALSO"</formula>
    </cfRule>
    <cfRule type="expression" dxfId="44" priority="3">
      <formula>$B$94=FALSE</formula>
    </cfRule>
  </conditionalFormatting>
  <conditionalFormatting sqref="F33:F39">
    <cfRule type="expression" priority="1">
      <formula>$B$93=FALSE</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5" tint="0.39997558519241921"/>
  </sheetPr>
  <dimension ref="A1:P92"/>
  <sheetViews>
    <sheetView workbookViewId="0">
      <pane xSplit="1" ySplit="5" topLeftCell="D17" activePane="bottomRight" state="frozen"/>
      <selection pane="topRight" activeCell="B1" sqref="B1"/>
      <selection pane="bottomLeft" activeCell="A6" sqref="A6"/>
      <selection pane="bottomRight" activeCell="E32" sqref="E32"/>
    </sheetView>
  </sheetViews>
  <sheetFormatPr baseColWidth="10" defaultColWidth="11.5703125" defaultRowHeight="15" x14ac:dyDescent="0.25"/>
  <cols>
    <col min="1" max="1" width="40.140625" customWidth="1"/>
    <col min="2" max="2" width="41.42578125" bestFit="1" customWidth="1"/>
    <col min="3" max="3" width="16" customWidth="1"/>
    <col min="5" max="5" width="23.5703125" customWidth="1"/>
    <col min="6" max="6" width="19.42578125" customWidth="1"/>
    <col min="8" max="8" width="19.5703125" customWidth="1"/>
    <col min="11" max="11" width="36.28515625" bestFit="1" customWidth="1"/>
  </cols>
  <sheetData>
    <row r="1" spans="1:12" x14ac:dyDescent="0.25">
      <c r="A1" t="s">
        <v>395</v>
      </c>
      <c r="B1" t="s">
        <v>383</v>
      </c>
      <c r="E1" t="s">
        <v>119</v>
      </c>
      <c r="H1" t="s">
        <v>126</v>
      </c>
      <c r="K1" t="s">
        <v>127</v>
      </c>
    </row>
    <row r="3" spans="1:12" s="79" customFormat="1" ht="21" x14ac:dyDescent="0.35">
      <c r="A3" s="79" t="s">
        <v>399</v>
      </c>
    </row>
    <row r="4" spans="1:12" x14ac:dyDescent="0.25">
      <c r="A4" t="s">
        <v>384</v>
      </c>
      <c r="B4" t="s">
        <v>120</v>
      </c>
      <c r="E4" t="s">
        <v>397</v>
      </c>
      <c r="H4" t="s">
        <v>120</v>
      </c>
      <c r="K4" t="s">
        <v>397</v>
      </c>
    </row>
    <row r="5" spans="1:12" x14ac:dyDescent="0.25">
      <c r="A5" t="s">
        <v>385</v>
      </c>
      <c r="B5" t="s">
        <v>120</v>
      </c>
      <c r="E5" t="s">
        <v>120</v>
      </c>
      <c r="H5" t="s">
        <v>397</v>
      </c>
      <c r="K5" t="s">
        <v>397</v>
      </c>
    </row>
    <row r="7" spans="1:12" x14ac:dyDescent="0.25">
      <c r="A7" t="s">
        <v>386</v>
      </c>
    </row>
    <row r="8" spans="1:12" ht="17.25" customHeight="1" x14ac:dyDescent="0.25"/>
    <row r="9" spans="1:12" ht="29.25" customHeight="1" x14ac:dyDescent="0.25">
      <c r="A9" t="s">
        <v>83</v>
      </c>
      <c r="B9" s="78" t="str">
        <f>+IF('Datos Prestador'!G19="Combinación de equipo de tracción manual con camión",CONCATENATE('Datos Prestador'!G24," y ",'Datos Prestador'!O24),'C.RecicladoresRef'!F6)</f>
        <v>Vehículo motorizado mediano y Equipo de tracción manual</v>
      </c>
      <c r="C9" s="78"/>
      <c r="E9" s="78" t="str">
        <f>+IF('Datos Recicladores'!G19="Combinación de equipo de tracción manual con camión",CONCATENATE('Datos Recicladores'!G24," y ",'Datos Recicladores'!O24),'C.RecicladoresRef'!F6)</f>
        <v>Vehículo motorizado mediano y Equipo de tracción manual</v>
      </c>
      <c r="H9" s="78" t="str">
        <f>+B9</f>
        <v>Vehículo motorizado mediano y Equipo de tracción manual</v>
      </c>
      <c r="I9" s="78"/>
      <c r="J9" s="78"/>
      <c r="K9" s="78" t="str">
        <f>+E9</f>
        <v>Vehículo motorizado mediano y Equipo de tracción manual</v>
      </c>
    </row>
    <row r="10" spans="1:12" ht="29.25" customHeight="1" x14ac:dyDescent="0.25">
      <c r="B10" s="78"/>
      <c r="C10" s="78"/>
      <c r="E10" t="str">
        <f>+IF('Datos Recicladores'!G19="Combinación de triciclo con camión",'C.RecicladoresRef'!F7,"")</f>
        <v/>
      </c>
      <c r="F10" t="str">
        <f>+IF('Datos Recicladores'!G19="Combinación de triciclo con camión",'C.RecicladoresRef'!H7,"")</f>
        <v/>
      </c>
      <c r="K10" t="str">
        <f>+E10</f>
        <v/>
      </c>
      <c r="L10" t="str">
        <f>+F10</f>
        <v/>
      </c>
    </row>
    <row r="11" spans="1:12" x14ac:dyDescent="0.25">
      <c r="A11" t="s">
        <v>398</v>
      </c>
      <c r="B11" t="str">
        <f>+CONCATENATE(ROUND(IF('Datos Prestador'!G27="",'Datos Prestador'!H27,'Datos Prestador'!G27),2)," ",IF('Datos Prestador'!G26="Peso (Toneladas)","Ton","m3"))</f>
        <v>3,5 Ton</v>
      </c>
      <c r="C11" t="str">
        <f>+CONCATENATE(ROUND(IF('Datos Prestador'!P27="",'Datos Prestador'!O27,'Datos Prestador'!P27),2)," ",IF('Datos Prestador'!O26="Peso (Toneladas)","Ton","m3"))</f>
        <v>0,25 Ton</v>
      </c>
      <c r="E11" s="29" t="str">
        <f>+CONCATENATE(ROUND(IF('Datos Recicladores'!G27="",'Datos Recicladores'!H27,'Datos Recicladores'!G27),2)," ",IF('Datos Recicladores'!G26="Peso (Toneladas)","Ton","m3"))</f>
        <v>3,5 Ton</v>
      </c>
      <c r="F11" s="2" t="str">
        <f>+CONCATENATE(ROUND(IF('Datos Recicladores'!P27="",'Datos Recicladores'!O27,'Datos Recicladores'!P27),2)," ",IF('Datos Recicladores'!O26="Peso (Toneladas)","Ton","m3"))</f>
        <v>3,13 m3</v>
      </c>
      <c r="H11" t="str">
        <f>+CONCATENATE(ROUND(IF('Datos Prestador'!G27="",'Datos Prestador'!H27,'Datos Prestador'!G27),2)," ",IF('Datos Prestador'!G26="Peso (Toneladas)","Ton","m3"))</f>
        <v>3,5 Ton</v>
      </c>
      <c r="I11" t="str">
        <f>+CONCATENATE(ROUND(IF('Datos Prestador'!P27="",'Datos Prestador'!O27,'Datos Prestador'!P27),2)," ",IF('Datos Prestador'!O26="Peso (Toneladas)","Ton","m3"))</f>
        <v>0,25 Ton</v>
      </c>
      <c r="K11" t="str">
        <f>+CONCATENATE(ROUND(IF('Datos Recicladores'!G27="",'Datos Recicladores'!H27,'Datos Recicladores'!G27),2)," ",IF('Datos Recicladores'!G26="Peso (Toneladas)","Ton","m3"))</f>
        <v>3,5 Ton</v>
      </c>
      <c r="L11" t="str">
        <f>+CONCATENATE(ROUND(IF('Datos Recicladores'!P27="",'Datos Recicladores'!O27,'Datos Recicladores'!P27),2)," ",IF('Datos Recicladores'!O26="Peso (Toneladas)","Ton","m3"))</f>
        <v>3,13 m3</v>
      </c>
    </row>
    <row r="12" spans="1:12" x14ac:dyDescent="0.25">
      <c r="A12" t="s">
        <v>476</v>
      </c>
      <c r="B12" s="156">
        <f>+SUM(B13:B14)</f>
        <v>0</v>
      </c>
      <c r="C12" s="156">
        <f>+SUM(C13:C14)</f>
        <v>0</v>
      </c>
      <c r="E12" s="156">
        <f>+SUM(E13:E14)</f>
        <v>0</v>
      </c>
      <c r="F12" s="156">
        <f>+SUM(F13:F14)</f>
        <v>0</v>
      </c>
      <c r="H12" s="156">
        <f>+SUM(H13:H14)</f>
        <v>0</v>
      </c>
      <c r="I12" s="156">
        <f>+SUM(I13:I14)</f>
        <v>0</v>
      </c>
      <c r="K12" s="156">
        <f>+SUM(K13:K14)</f>
        <v>0</v>
      </c>
      <c r="L12" s="156">
        <f>+SUM(L13:L14)</f>
        <v>0</v>
      </c>
    </row>
    <row r="13" spans="1:12" s="159" customFormat="1" x14ac:dyDescent="0.25">
      <c r="A13" s="157" t="s">
        <v>475</v>
      </c>
      <c r="B13" s="158">
        <f>+IF(AND('C.PrestadorRef'!M12="",'C.PrestadorRef'!M13=""),'C.PrestadorRef'!F21,'C.PrestadorRef'!M12+'C.PrestadorRef'!M13)</f>
        <v>0</v>
      </c>
      <c r="C13" s="158">
        <f>+IF('C.PrestadorRef'!M14="",'C.PrestadorRef'!H21,'C.PrestadorRef'!M14)</f>
        <v>0</v>
      </c>
      <c r="E13" s="158">
        <f>+IF(AND('C.RecicladoresRef'!M12="",'C.RecicladoresRef'!M13=""),'C.RecicladoresRef'!F21,'C.RecicladoresRef'!M12+'C.RecicladoresRef'!M13)</f>
        <v>0</v>
      </c>
      <c r="F13" s="158">
        <f>+IF('C.RecicladoresRef'!M14="",'C.RecicladoresRef'!H21,'C.RecicladoresRef'!M14)</f>
        <v>0</v>
      </c>
      <c r="H13" s="158">
        <f>+IF(AND('C.PrestadorRef'!M12="",'C.PrestadorRef'!M13=""),'C.PrestadorRef'!F21,'C.PrestadorRef'!M12+'C.PrestadorRef'!M13)</f>
        <v>0</v>
      </c>
      <c r="I13" s="158">
        <f>+IF('C.PrestadorRef'!M14="",'C.PrestadorRef'!H21,'C.PrestadorRef'!M14)</f>
        <v>0</v>
      </c>
      <c r="K13" s="159">
        <f>+IF(AND('C.RecicladoresRef'!M12="",'C.RecicladoresRef'!M13=""),'C.RecicladoresRef'!F21,'C.RecicladoresRef'!M12+'C.RecicladoresRef'!M13)</f>
        <v>0</v>
      </c>
      <c r="L13" s="159">
        <f>+IF('C.RecicladoresRef'!M14="",'C.RecicladoresRef'!H21,'C.RecicladoresRef'!M14)</f>
        <v>0</v>
      </c>
    </row>
    <row r="14" spans="1:12" s="159" customFormat="1" x14ac:dyDescent="0.25">
      <c r="A14" s="157" t="s">
        <v>388</v>
      </c>
      <c r="B14" s="158">
        <f>+IF(AND('C.PrestadorRef'!M12="",'C.PrestadorRef'!M13=""),'C.PrestadorRef'!F22,0)</f>
        <v>0</v>
      </c>
      <c r="C14" s="158">
        <f>+IF('C.PrestadorRef'!M14="",'C.PrestadorRef'!H22,0)</f>
        <v>0</v>
      </c>
      <c r="E14" s="158">
        <f>+IF(AND('C.RecicladoresRef'!M12="",'C.RecicladoresRef'!M13=""),'C.RecicladoresRef'!F22,0)</f>
        <v>0</v>
      </c>
      <c r="F14" s="158">
        <f>+IF('C.RecicladoresRef'!M14="",'C.RecicladoresRef'!H22,0)</f>
        <v>0</v>
      </c>
      <c r="H14" s="158">
        <f>+IF(AND('C.PrestadorRef'!M12="",'C.PrestadorRef'!M13=""),'C.PrestadorRef'!F22,0)</f>
        <v>0</v>
      </c>
      <c r="I14" s="158">
        <f>+IF('C.PrestadorRef'!M14="",'C.PrestadorRef'!H22,0)</f>
        <v>0</v>
      </c>
      <c r="K14" s="159">
        <f>+IF(AND('C.RecicladoresRef'!M12="",'C.RecicladoresRef'!M13=""),'C.RecicladoresRef'!F22,0)</f>
        <v>0</v>
      </c>
      <c r="L14" s="159">
        <f>+IF('C.RecicladoresRef'!M14="",'C.RecicladoresRef'!H22,0)</f>
        <v>0</v>
      </c>
    </row>
    <row r="15" spans="1:12" x14ac:dyDescent="0.25">
      <c r="A15" t="s">
        <v>477</v>
      </c>
      <c r="B15" s="156">
        <f>+SUM(B16:B18)</f>
        <v>0</v>
      </c>
      <c r="C15" s="156">
        <f>+SUM(C16:C18)</f>
        <v>0</v>
      </c>
      <c r="E15" s="156">
        <f>+SUM(E16:E18)</f>
        <v>0</v>
      </c>
      <c r="F15" s="156">
        <f>+SUM(F16:F18)</f>
        <v>0</v>
      </c>
      <c r="H15" s="156">
        <f>+SUM(H16:H18)</f>
        <v>0</v>
      </c>
      <c r="I15" s="156">
        <f>+SUM(I16:I18)</f>
        <v>0</v>
      </c>
      <c r="K15">
        <f>+E15</f>
        <v>0</v>
      </c>
      <c r="L15">
        <f>+F15</f>
        <v>0</v>
      </c>
    </row>
    <row r="16" spans="1:12" s="159" customFormat="1" x14ac:dyDescent="0.25">
      <c r="A16" s="157" t="s">
        <v>387</v>
      </c>
      <c r="B16" s="158">
        <f>+IF('C.PrestadorRef'!M16="",'C.PrestadorRef'!F16*'C.PrestadorRef'!F24,'C.PrestadorRef'!M16)</f>
        <v>0</v>
      </c>
      <c r="C16" s="158">
        <f>+IF('C.PrestadorRef'!M19="",'C.PrestadorRef'!H16*'C.PrestadorRef'!H24)</f>
        <v>0</v>
      </c>
      <c r="E16" s="158">
        <f>+IF('C.RecicladoresRef'!M16="",'C.RecicladoresRef'!F16*'C.RecicladoresRef'!F24,'C.RecicladoresRef'!M16)</f>
        <v>0</v>
      </c>
      <c r="F16" s="158">
        <f>+IF('C.RecicladoresRef'!M19="",'C.RecicladoresRef'!H16*'C.RecicladoresRef'!H24)</f>
        <v>0</v>
      </c>
      <c r="H16" s="158">
        <f>+IF('C.PrestadorRef'!M16="",'C.PrestadorRef'!F16*'C.PrestadorRef'!F24,'C.PrestadorRef'!M16)</f>
        <v>0</v>
      </c>
      <c r="I16" s="158">
        <f>+IF('C.PrestadorRef'!M19="",'C.PrestadorRef'!H16*'C.PrestadorRef'!H24)</f>
        <v>0</v>
      </c>
      <c r="K16" s="159">
        <f>+IF('C.RecicladoresRef'!M16="",'C.RecicladoresRef'!F16*'C.RecicladoresRef'!F24,'C.RecicladoresRef'!M16)</f>
        <v>0</v>
      </c>
      <c r="L16" s="159">
        <f>+IF('C.RecicladoresRef'!M19="",'C.RecicladoresRef'!H16*'C.RecicladoresRef'!H24)</f>
        <v>0</v>
      </c>
    </row>
    <row r="17" spans="1:16" s="159" customFormat="1" x14ac:dyDescent="0.25">
      <c r="A17" s="157" t="s">
        <v>134</v>
      </c>
      <c r="B17" s="158">
        <f>+IF('C.PrestadorRef'!M16="",'C.PrestadorRef'!F17*'C.PrestadorRef'!F24,'C.PrestadorRef'!M16)</f>
        <v>0</v>
      </c>
      <c r="C17" s="158">
        <v>0</v>
      </c>
      <c r="E17" s="158">
        <f>+IF('C.RecicladoresRef'!M17="",'C.RecicladoresRef'!F17*'C.RecicladoresRef'!F24,'C.RecicladoresRef'!M17)</f>
        <v>0</v>
      </c>
      <c r="F17" s="158">
        <v>0</v>
      </c>
      <c r="H17" s="158">
        <f>+IF('C.PrestadorRef'!M17="",'C.PrestadorRef'!F17*'C.PrestadorRef'!F24,'C.PrestadorRef'!M17)</f>
        <v>0</v>
      </c>
      <c r="I17" s="158">
        <v>0</v>
      </c>
      <c r="K17" s="159">
        <f>+IF('C.RecicladoresRef'!M17="",'C.RecicladoresRef'!F17*'C.RecicladoresRef'!F24,'C.RecicladoresRef'!M17)</f>
        <v>0</v>
      </c>
      <c r="L17" s="159">
        <v>0</v>
      </c>
    </row>
    <row r="18" spans="1:16" s="159" customFormat="1" x14ac:dyDescent="0.25">
      <c r="A18" s="157" t="s">
        <v>159</v>
      </c>
      <c r="B18" s="158">
        <f>+IF('C.PrestadorRef'!M18="",'C.PrestadorRef'!F18,'C.PrestadorRef'!M18)</f>
        <v>0</v>
      </c>
      <c r="C18" s="158">
        <v>0</v>
      </c>
      <c r="E18" s="158">
        <f>+IF('C.RecicladoresRef'!M18="",'C.RecicladoresRef'!F18,'C.RecicladoresRef'!M18)</f>
        <v>0</v>
      </c>
      <c r="F18" s="158">
        <v>0</v>
      </c>
      <c r="H18" s="158">
        <f>+IF('C.PrestadorRef'!M18="",'C.PrestadorRef'!F18,'C.PrestadorRef'!M18)</f>
        <v>0</v>
      </c>
      <c r="I18" s="158">
        <v>0</v>
      </c>
      <c r="K18" s="159">
        <f>+IF('C.RecicladoresRef'!M18="",'C.RecicladoresRef'!F18,'C.RecicladoresRef'!M18)</f>
        <v>0</v>
      </c>
      <c r="L18" s="159">
        <v>0</v>
      </c>
    </row>
    <row r="19" spans="1:16" ht="30" x14ac:dyDescent="0.25">
      <c r="A19" s="78" t="s">
        <v>484</v>
      </c>
      <c r="B19" s="156">
        <f>+'C.PrestadorRef'!H44</f>
        <v>0</v>
      </c>
      <c r="C19" s="156"/>
      <c r="D19" s="156"/>
      <c r="E19" s="156">
        <f>+'C.RecicladoresRef'!H44</f>
        <v>0</v>
      </c>
      <c r="F19" s="156"/>
      <c r="G19" s="156"/>
      <c r="H19" s="156">
        <f>+'C.PrestadorRef'!H44</f>
        <v>0</v>
      </c>
      <c r="I19" s="156"/>
      <c r="J19" s="156"/>
      <c r="K19" s="156">
        <f>+'C.RecicladoresRef'!H44</f>
        <v>0</v>
      </c>
      <c r="L19" s="156"/>
      <c r="M19" s="156"/>
      <c r="N19" s="156"/>
      <c r="O19" s="156"/>
    </row>
    <row r="23" spans="1:16" x14ac:dyDescent="0.25">
      <c r="A23" t="s">
        <v>389</v>
      </c>
      <c r="B23" s="76">
        <f>+'C.PrestadorRef'!C114</f>
        <v>0</v>
      </c>
      <c r="E23" s="76">
        <f>+'C.PrestadorRef'!C114</f>
        <v>0</v>
      </c>
      <c r="H23" s="76">
        <f>+'C.RecicladoresRef'!C114</f>
        <v>0</v>
      </c>
      <c r="K23" s="76">
        <f>+'C.RecicladoresRef'!C114</f>
        <v>0</v>
      </c>
    </row>
    <row r="24" spans="1:16" x14ac:dyDescent="0.25">
      <c r="A24" t="s">
        <v>390</v>
      </c>
      <c r="B24" s="76">
        <f>+'C.PrestadorRef'!C113</f>
        <v>0</v>
      </c>
      <c r="C24" s="29"/>
      <c r="E24" s="76">
        <f>+'C.PrestadorRef'!C113</f>
        <v>0</v>
      </c>
      <c r="H24" s="76" t="e">
        <f>+tmescen</f>
        <v>#DIV/0!</v>
      </c>
      <c r="K24" s="76" t="e">
        <f>+tmescen</f>
        <v>#DIV/0!</v>
      </c>
    </row>
    <row r="25" spans="1:16" x14ac:dyDescent="0.25">
      <c r="A25" t="s">
        <v>392</v>
      </c>
      <c r="B25" s="76" t="e">
        <f>+SUM(B26:B28)</f>
        <v>#DIV/0!</v>
      </c>
      <c r="C25" s="76"/>
      <c r="E25" s="76" t="e">
        <f>+SUM(E26:E28)</f>
        <v>#DIV/0!</v>
      </c>
      <c r="H25" s="76" t="e">
        <f>+SUM(H26:H28)</f>
        <v>#DIV/0!</v>
      </c>
      <c r="K25" s="76" t="e">
        <f>+SUM(K26:K28)</f>
        <v>#DIV/0!</v>
      </c>
    </row>
    <row r="26" spans="1:16" s="159" customFormat="1" x14ac:dyDescent="0.25">
      <c r="A26" s="157" t="s">
        <v>391</v>
      </c>
      <c r="B26" s="160" t="e">
        <f>+'C.PrestadorRef'!G134</f>
        <v>#DIV/0!</v>
      </c>
      <c r="C26" s="160"/>
      <c r="E26" s="160" t="e">
        <f>+'C.PrestadorRef'!G134</f>
        <v>#DIV/0!</v>
      </c>
      <c r="H26" s="160" t="e">
        <f>+'C.RecicladoresRef'!G134</f>
        <v>#DIV/0!</v>
      </c>
      <c r="K26" s="160" t="e">
        <f>+'C.RecicladoresRef'!G134</f>
        <v>#DIV/0!</v>
      </c>
    </row>
    <row r="27" spans="1:16" s="159" customFormat="1" x14ac:dyDescent="0.25">
      <c r="A27" s="157" t="s">
        <v>159</v>
      </c>
      <c r="B27" s="160">
        <f>+'C.PrestadorRef'!G135</f>
        <v>0</v>
      </c>
      <c r="C27" s="160"/>
      <c r="E27" s="160">
        <f>+'C.PrestadorRef'!G135</f>
        <v>0</v>
      </c>
      <c r="H27" s="160">
        <f>+'C.RecicladoresRef'!G135</f>
        <v>0</v>
      </c>
      <c r="K27" s="160">
        <f>+'C.RecicladoresRef'!G135</f>
        <v>0</v>
      </c>
    </row>
    <row r="28" spans="1:16" s="159" customFormat="1" x14ac:dyDescent="0.25">
      <c r="A28" s="157" t="s">
        <v>393</v>
      </c>
      <c r="B28" s="160">
        <f>+'C.PrestadorRef'!G136</f>
        <v>0</v>
      </c>
      <c r="C28" s="160"/>
      <c r="E28" s="160">
        <f>+'C.PrestadorRef'!G136</f>
        <v>0</v>
      </c>
      <c r="H28" s="160">
        <f>+'C.RecicladoresRef'!G136</f>
        <v>0</v>
      </c>
      <c r="K28" s="160">
        <f>+'C.RecicladoresRef'!G136</f>
        <v>0</v>
      </c>
    </row>
    <row r="29" spans="1:16" s="159" customFormat="1" ht="30" x14ac:dyDescent="0.25">
      <c r="A29" s="78" t="s">
        <v>483</v>
      </c>
      <c r="B29" s="164">
        <f>+'C.PrestadorRef'!H128</f>
        <v>0</v>
      </c>
      <c r="C29" s="164"/>
      <c r="D29" s="164"/>
      <c r="E29" s="164">
        <f>+'C.PrestadorRef'!H128</f>
        <v>0</v>
      </c>
      <c r="F29" s="164"/>
      <c r="G29" s="164"/>
      <c r="H29" s="164">
        <f>+'C.RecicladoresRef'!H128</f>
        <v>0</v>
      </c>
      <c r="I29" s="164"/>
      <c r="J29" s="164"/>
      <c r="K29" s="164">
        <f>+'C.RecicladoresRef'!H128</f>
        <v>0</v>
      </c>
      <c r="L29" s="164"/>
      <c r="M29" s="164"/>
      <c r="N29" s="164"/>
      <c r="O29" s="164"/>
      <c r="P29" s="164"/>
    </row>
    <row r="30" spans="1:16" s="159" customFormat="1" x14ac:dyDescent="0.25">
      <c r="A30" s="157"/>
      <c r="C30" s="160"/>
      <c r="E30" s="160"/>
      <c r="H30" s="160"/>
      <c r="K30" s="160"/>
    </row>
    <row r="31" spans="1:16" x14ac:dyDescent="0.25">
      <c r="A31" s="52"/>
      <c r="B31" s="52"/>
      <c r="C31" s="52"/>
      <c r="D31" s="52"/>
      <c r="E31" s="52"/>
      <c r="F31" s="52"/>
    </row>
    <row r="32" spans="1:16" ht="75" x14ac:dyDescent="0.25">
      <c r="A32" s="77" t="s">
        <v>394</v>
      </c>
      <c r="B32" s="52" t="s">
        <v>396</v>
      </c>
      <c r="C32" s="52"/>
      <c r="D32" s="52"/>
      <c r="E32" s="161">
        <f>+E15</f>
        <v>0</v>
      </c>
      <c r="F32" s="52"/>
      <c r="H32" s="76" t="e">
        <f>+H25</f>
        <v>#DIV/0!</v>
      </c>
      <c r="K32" s="76" t="e">
        <f>+K25+K15</f>
        <v>#DIV/0!</v>
      </c>
    </row>
    <row r="33" spans="1:14" x14ac:dyDescent="0.25">
      <c r="A33" s="52"/>
      <c r="B33" s="52"/>
      <c r="C33" s="52"/>
      <c r="D33" s="52"/>
      <c r="E33" s="52"/>
      <c r="F33" s="52"/>
    </row>
    <row r="34" spans="1:14" x14ac:dyDescent="0.25">
      <c r="A34" s="52"/>
      <c r="B34" s="52"/>
      <c r="C34" s="52"/>
      <c r="D34" s="52"/>
      <c r="E34" s="52"/>
      <c r="F34" s="52"/>
    </row>
    <row r="35" spans="1:14" s="79" customFormat="1" ht="21" x14ac:dyDescent="0.35">
      <c r="A35" s="79" t="s">
        <v>481</v>
      </c>
      <c r="N35"/>
    </row>
    <row r="37" spans="1:14" ht="18.75" x14ac:dyDescent="0.3">
      <c r="B37" s="84" t="s">
        <v>404</v>
      </c>
      <c r="C37" s="84"/>
    </row>
    <row r="38" spans="1:14" ht="18.75" x14ac:dyDescent="0.3">
      <c r="B38" s="84"/>
      <c r="C38" s="84"/>
    </row>
    <row r="39" spans="1:14" x14ac:dyDescent="0.25">
      <c r="A39" t="s">
        <v>485</v>
      </c>
      <c r="B39" s="175">
        <f>+SUMIF(B40:B42,"&gt;0",B40:B42)</f>
        <v>0</v>
      </c>
      <c r="C39" s="63"/>
      <c r="E39" s="175">
        <f>+SUMIF(E40:E43,"&gt;0",E40:E43)</f>
        <v>0</v>
      </c>
      <c r="H39" s="175">
        <f>+SUMIF(H40:H43,"&gt;0",H40:H43)</f>
        <v>0</v>
      </c>
      <c r="K39" s="175">
        <f>+SUMIF(K40:K43,"&gt;0",K40:K43)</f>
        <v>0</v>
      </c>
    </row>
    <row r="40" spans="1:14" x14ac:dyDescent="0.25">
      <c r="A40" t="s">
        <v>401</v>
      </c>
      <c r="B40" s="156" t="e">
        <f>+'C.PrestadorRef'!C197/Cálculos!G15</f>
        <v>#DIV/0!</v>
      </c>
      <c r="C40" s="29"/>
      <c r="E40" s="96" t="e">
        <f>+'C.RecicladoresRef'!C197/Cálculos!G15</f>
        <v>#DIV/0!</v>
      </c>
      <c r="H40" s="156" t="e">
        <f>+'C.RecicladoresRef'!C197/tonmes</f>
        <v>#DIV/0!</v>
      </c>
      <c r="K40" s="156" t="e">
        <f>+'C.RecicladoresRef'!C197/tonmes</f>
        <v>#DIV/0!</v>
      </c>
    </row>
    <row r="41" spans="1:14" x14ac:dyDescent="0.25">
      <c r="A41" t="s">
        <v>81</v>
      </c>
      <c r="B41" s="156">
        <f>+'C.PrestadorRef'!C203</f>
        <v>0</v>
      </c>
      <c r="E41" s="96">
        <f>+'Datos Recicladores'!N287</f>
        <v>0</v>
      </c>
      <c r="H41" s="156">
        <f>+'Datos Prestador'!G286</f>
        <v>0</v>
      </c>
      <c r="K41" s="156">
        <f>+'Datos Recicladores'!G287</f>
        <v>0</v>
      </c>
    </row>
    <row r="42" spans="1:14" x14ac:dyDescent="0.25">
      <c r="A42" t="s">
        <v>402</v>
      </c>
      <c r="B42" s="156">
        <f>+'C.PrestadorRef'!C204</f>
        <v>0</v>
      </c>
      <c r="E42" s="96">
        <f>+'Datos Prestador'!N286</f>
        <v>0</v>
      </c>
      <c r="H42" s="156">
        <f>+'Datos Recicladores'!N287</f>
        <v>0</v>
      </c>
      <c r="K42" s="156">
        <f>+'Datos Recicladores'!N287</f>
        <v>0</v>
      </c>
    </row>
    <row r="43" spans="1:14" x14ac:dyDescent="0.25">
      <c r="A43" t="s">
        <v>482</v>
      </c>
      <c r="B43" s="156">
        <v>0</v>
      </c>
      <c r="E43" s="96" t="e">
        <f>+'Datos Recicladores'!N294+('Datos Recicladores'!N296*'Resultados OcRef'!E32/tonmes)</f>
        <v>#DIV/0!</v>
      </c>
      <c r="H43" s="156" t="e">
        <f>+'Datos Recicladores'!N294+('Datos Recicladores'!N296*'Resultados OcRef'!H32/tonmes)</f>
        <v>#DIV/0!</v>
      </c>
      <c r="K43" s="156" t="e">
        <f>+'Datos Recicladores'!N294+('Datos Recicladores'!N296*'Resultados OcRef'!K32/tonmes)</f>
        <v>#DIV/0!</v>
      </c>
    </row>
    <row r="44" spans="1:14" x14ac:dyDescent="0.25">
      <c r="B44" s="156"/>
      <c r="E44" s="156"/>
      <c r="H44" s="156"/>
      <c r="K44" s="156"/>
    </row>
    <row r="45" spans="1:14" x14ac:dyDescent="0.25">
      <c r="A45" t="s">
        <v>486</v>
      </c>
      <c r="B45" s="175">
        <f>+SUMIF(B46:B48,"&gt;0",B46:B48)</f>
        <v>0</v>
      </c>
      <c r="C45" s="63"/>
      <c r="E45" s="175">
        <f>+SUMIF(E46:E48,"&gt;0",E46:E48)</f>
        <v>0</v>
      </c>
      <c r="H45" s="175">
        <f>+SUMIF(H46:H48,"&gt;0",H46:H48)</f>
        <v>0</v>
      </c>
      <c r="K45" s="175">
        <f>+SUMIF(K46:K48,"&gt;0",K46:K48)</f>
        <v>0</v>
      </c>
    </row>
    <row r="46" spans="1:14" x14ac:dyDescent="0.25">
      <c r="A46" t="s">
        <v>81</v>
      </c>
      <c r="B46" s="156" t="e">
        <f>'C.PrestadorRef'!F91/Cálculos!G15</f>
        <v>#DIV/0!</v>
      </c>
      <c r="C46" s="29"/>
      <c r="E46" s="156" t="e">
        <f>+'C.RecicladoresRef'!F91/Cálculos!G15</f>
        <v>#DIV/0!</v>
      </c>
      <c r="H46" s="96" t="e">
        <f>+'C.PrestadorRef'!F91/Cálculos!G15</f>
        <v>#DIV/0!</v>
      </c>
      <c r="K46" s="156" t="e">
        <f>+'C.RecicladoresRef'!F91/Cálculos!G15</f>
        <v>#DIV/0!</v>
      </c>
    </row>
    <row r="47" spans="1:14" x14ac:dyDescent="0.25">
      <c r="A47" t="s">
        <v>402</v>
      </c>
      <c r="B47" s="156" t="e">
        <f>+'C.PrestadorRef'!F178/Cálculos!G15</f>
        <v>#DIV/0!</v>
      </c>
      <c r="C47" s="29"/>
      <c r="E47" s="156" t="e">
        <f>+'C.PrestadorRef'!F178/Cálculos!G15</f>
        <v>#DIV/0!</v>
      </c>
      <c r="H47" s="96" t="e">
        <f>+'C.RecicladoresRef'!F178/Cálculos!G15</f>
        <v>#DIV/0!</v>
      </c>
      <c r="K47" s="156" t="e">
        <f>+'C.RecicladoresRef'!F178/Cálculos!G15</f>
        <v>#DIV/0!</v>
      </c>
    </row>
    <row r="48" spans="1:14" x14ac:dyDescent="0.25">
      <c r="A48" t="s">
        <v>405</v>
      </c>
      <c r="B48" s="156"/>
      <c r="C48" s="29"/>
      <c r="E48" s="156" t="e">
        <f>+'C.PrestadorRef'!F179/ptmes</f>
        <v>#DIV/0!</v>
      </c>
      <c r="H48" s="96" t="e">
        <f>+'C.RecicladoresRef'!F179/tonmes</f>
        <v>#DIV/0!</v>
      </c>
      <c r="K48" s="156" t="e">
        <f>+'C.RecicladoresRef'!C139/tonmes</f>
        <v>#DIV/0!</v>
      </c>
    </row>
    <row r="49" spans="1:13" x14ac:dyDescent="0.25">
      <c r="A49" s="85" t="s">
        <v>487</v>
      </c>
      <c r="B49" s="176">
        <f>+B39-B45</f>
        <v>0</v>
      </c>
      <c r="C49" s="86"/>
      <c r="D49" s="85"/>
      <c r="E49" s="176">
        <f>+E39-E45</f>
        <v>0</v>
      </c>
      <c r="F49" s="85"/>
      <c r="G49" s="85"/>
      <c r="H49" s="177">
        <f>+H39-H45</f>
        <v>0</v>
      </c>
      <c r="I49" s="85"/>
      <c r="J49" s="85"/>
      <c r="K49" s="177">
        <f>+K39-K45</f>
        <v>0</v>
      </c>
      <c r="L49" s="85"/>
      <c r="M49" s="85"/>
    </row>
    <row r="50" spans="1:13" x14ac:dyDescent="0.25">
      <c r="A50" s="85" t="s">
        <v>416</v>
      </c>
      <c r="B50" s="86" t="str">
        <f>+IF(B49&gt;=0,"Cubre costos","No cubre costos")</f>
        <v>Cubre costos</v>
      </c>
      <c r="C50" s="86"/>
      <c r="D50" s="85"/>
      <c r="E50" s="176" t="str">
        <f>+IF(E49&gt;=0,"Cubre costos","No cubre costos")</f>
        <v>Cubre costos</v>
      </c>
      <c r="F50" s="85"/>
      <c r="G50" s="85"/>
      <c r="H50" s="86" t="str">
        <f>+IF(H49&gt;=0,"Cubre costos","No cubre costos")</f>
        <v>Cubre costos</v>
      </c>
      <c r="I50" s="85"/>
      <c r="J50" s="85"/>
      <c r="K50" s="86" t="str">
        <f>+IF(K49&gt;=0,"Cubre costos","No cubre costos")</f>
        <v>Cubre costos</v>
      </c>
      <c r="L50" s="85"/>
      <c r="M50" s="85"/>
    </row>
    <row r="51" spans="1:13" x14ac:dyDescent="0.25">
      <c r="H51" s="2"/>
    </row>
    <row r="55" spans="1:13" ht="18.75" x14ac:dyDescent="0.3">
      <c r="A55" s="84" t="s">
        <v>124</v>
      </c>
      <c r="B55" s="84" t="s">
        <v>497</v>
      </c>
      <c r="C55" s="84" t="s">
        <v>498</v>
      </c>
    </row>
    <row r="56" spans="1:13" x14ac:dyDescent="0.25">
      <c r="A56" t="s">
        <v>486</v>
      </c>
      <c r="B56" s="202" t="e">
        <f>+SUM(B57:B58)</f>
        <v>#DIV/0!</v>
      </c>
      <c r="C56" s="202" t="e">
        <f>+SUM(C57:C58)</f>
        <v>#DIV/0!</v>
      </c>
      <c r="D56" s="10"/>
      <c r="E56" s="63"/>
      <c r="F56" s="10"/>
      <c r="G56" s="10"/>
      <c r="H56" s="63"/>
      <c r="I56" s="10"/>
      <c r="J56" s="10"/>
      <c r="K56" s="63"/>
      <c r="L56" s="10"/>
    </row>
    <row r="57" spans="1:13" x14ac:dyDescent="0.25">
      <c r="A57" t="s">
        <v>81</v>
      </c>
      <c r="B57" s="156" t="e">
        <f>+B46</f>
        <v>#DIV/0!</v>
      </c>
      <c r="C57" s="156" t="e">
        <f>+'Resultados Oc'!B46</f>
        <v>#DIV/0!</v>
      </c>
      <c r="E57" s="2"/>
      <c r="H57" s="2"/>
      <c r="K57" s="29"/>
    </row>
    <row r="58" spans="1:13" x14ac:dyDescent="0.25">
      <c r="A58" t="s">
        <v>402</v>
      </c>
      <c r="B58" s="156">
        <f>+IFERROR(B47,0)</f>
        <v>0</v>
      </c>
      <c r="C58" s="156" t="e">
        <f>+'Resultados Oc'!B47</f>
        <v>#DIV/0!</v>
      </c>
      <c r="E58" s="2"/>
      <c r="H58" s="2"/>
      <c r="K58" s="29"/>
    </row>
    <row r="60" spans="1:13" ht="18.75" x14ac:dyDescent="0.3">
      <c r="A60" s="84" t="s">
        <v>119</v>
      </c>
      <c r="B60" s="84" t="s">
        <v>497</v>
      </c>
      <c r="C60" s="84" t="s">
        <v>498</v>
      </c>
      <c r="D60" s="10"/>
      <c r="E60" s="63"/>
      <c r="F60" s="10"/>
      <c r="G60" s="10"/>
      <c r="H60" s="63"/>
      <c r="I60" s="10"/>
      <c r="J60" s="10"/>
      <c r="K60" s="63"/>
      <c r="L60" s="10"/>
    </row>
    <row r="61" spans="1:13" x14ac:dyDescent="0.25">
      <c r="A61" t="s">
        <v>486</v>
      </c>
      <c r="B61" s="202" t="e">
        <f>+SUM(B62:B63)</f>
        <v>#DIV/0!</v>
      </c>
      <c r="C61" s="202" t="e">
        <f>+SUM(C62:C63)</f>
        <v>#DIV/0!</v>
      </c>
      <c r="E61" s="88"/>
      <c r="H61" s="63"/>
      <c r="K61" s="88"/>
    </row>
    <row r="62" spans="1:13" x14ac:dyDescent="0.25">
      <c r="A62" t="s">
        <v>81</v>
      </c>
      <c r="B62" s="156" t="e">
        <f>+E46</f>
        <v>#DIV/0!</v>
      </c>
      <c r="C62" s="156" t="e">
        <f>+'Resultados Oc'!E46</f>
        <v>#DIV/0!</v>
      </c>
      <c r="H62" s="2"/>
      <c r="K62" s="29"/>
    </row>
    <row r="63" spans="1:13" x14ac:dyDescent="0.25">
      <c r="A63" t="s">
        <v>402</v>
      </c>
      <c r="B63" s="156">
        <f>+IFERROR(E47,0)</f>
        <v>0</v>
      </c>
      <c r="C63" s="156" t="e">
        <f>+'Resultados Oc'!E47</f>
        <v>#DIV/0!</v>
      </c>
      <c r="H63" s="2"/>
    </row>
    <row r="64" spans="1:13" x14ac:dyDescent="0.25">
      <c r="H64" s="2"/>
    </row>
    <row r="65" spans="1:12" ht="18.75" x14ac:dyDescent="0.3">
      <c r="A65" s="84" t="s">
        <v>126</v>
      </c>
      <c r="B65" s="84" t="s">
        <v>497</v>
      </c>
      <c r="C65" s="84" t="s">
        <v>498</v>
      </c>
      <c r="H65" s="2"/>
    </row>
    <row r="66" spans="1:12" x14ac:dyDescent="0.25">
      <c r="A66" t="s">
        <v>486</v>
      </c>
      <c r="B66" s="202" t="e">
        <f>+SUM(B67:B68)</f>
        <v>#DIV/0!</v>
      </c>
      <c r="C66" s="202" t="e">
        <f>+SUM(C67:C68)</f>
        <v>#DIV/0!</v>
      </c>
    </row>
    <row r="67" spans="1:12" x14ac:dyDescent="0.25">
      <c r="A67" t="s">
        <v>81</v>
      </c>
      <c r="B67" s="156" t="e">
        <f>+H46</f>
        <v>#DIV/0!</v>
      </c>
      <c r="C67" s="156" t="e">
        <f>+'Resultados Oc'!H46</f>
        <v>#DIV/0!</v>
      </c>
    </row>
    <row r="68" spans="1:12" x14ac:dyDescent="0.25">
      <c r="A68" t="s">
        <v>402</v>
      </c>
      <c r="B68" s="156">
        <f>+IFERROR(H47,0)</f>
        <v>0</v>
      </c>
      <c r="C68" s="156" t="e">
        <f>+'Resultados Oc'!H47</f>
        <v>#DIV/0!</v>
      </c>
    </row>
    <row r="69" spans="1:12" x14ac:dyDescent="0.25">
      <c r="B69" s="63"/>
      <c r="C69" s="63"/>
      <c r="E69" s="63"/>
      <c r="H69" s="63"/>
    </row>
    <row r="70" spans="1:12" ht="18.75" x14ac:dyDescent="0.3">
      <c r="A70" s="84" t="s">
        <v>127</v>
      </c>
      <c r="B70" s="84" t="s">
        <v>497</v>
      </c>
      <c r="C70" s="84" t="s">
        <v>498</v>
      </c>
      <c r="E70" s="2"/>
      <c r="H70" s="2"/>
    </row>
    <row r="71" spans="1:12" x14ac:dyDescent="0.25">
      <c r="A71" t="s">
        <v>486</v>
      </c>
      <c r="B71" s="202" t="e">
        <f>+SUM(B72:B73)</f>
        <v>#DIV/0!</v>
      </c>
      <c r="C71" s="202" t="e">
        <f>+SUM(C72:C73)</f>
        <v>#DIV/0!</v>
      </c>
    </row>
    <row r="72" spans="1:12" x14ac:dyDescent="0.25">
      <c r="A72" t="s">
        <v>81</v>
      </c>
      <c r="B72" s="156" t="e">
        <f>+K46</f>
        <v>#DIV/0!</v>
      </c>
      <c r="C72" s="156" t="e">
        <f>+'Resultados Oc'!K46</f>
        <v>#DIV/0!</v>
      </c>
    </row>
    <row r="73" spans="1:12" x14ac:dyDescent="0.25">
      <c r="A73" t="s">
        <v>402</v>
      </c>
      <c r="B73" s="156">
        <f>+IFERROR(K47,0)</f>
        <v>0</v>
      </c>
      <c r="C73" s="156" t="e">
        <f>+'Resultados Oc'!K47</f>
        <v>#DIV/0!</v>
      </c>
    </row>
    <row r="75" spans="1:12" x14ac:dyDescent="0.25">
      <c r="B75" s="63"/>
      <c r="C75" s="63"/>
      <c r="E75" s="63"/>
      <c r="H75" s="63"/>
    </row>
    <row r="76" spans="1:12" x14ac:dyDescent="0.25">
      <c r="B76" s="29"/>
      <c r="C76" s="29"/>
      <c r="H76" s="2"/>
    </row>
    <row r="77" spans="1:12" x14ac:dyDescent="0.25">
      <c r="B77" s="29"/>
      <c r="C77" s="29"/>
      <c r="E77" s="2"/>
      <c r="H77" s="2"/>
    </row>
    <row r="78" spans="1:12" x14ac:dyDescent="0.25">
      <c r="B78" s="29"/>
      <c r="C78" s="29"/>
      <c r="E78" s="2"/>
      <c r="H78" s="2"/>
    </row>
    <row r="79" spans="1:12" x14ac:dyDescent="0.25">
      <c r="A79" s="85"/>
      <c r="B79" s="86"/>
      <c r="C79" s="86"/>
      <c r="D79" s="85"/>
      <c r="E79" s="86"/>
      <c r="F79" s="85"/>
      <c r="G79" s="85"/>
      <c r="H79" s="87"/>
      <c r="I79" s="85"/>
      <c r="J79" s="85"/>
      <c r="K79" s="85"/>
      <c r="L79" s="85"/>
    </row>
    <row r="80" spans="1:12" x14ac:dyDescent="0.25">
      <c r="A80" s="85"/>
      <c r="B80" s="86"/>
      <c r="C80" s="86"/>
      <c r="D80" s="85"/>
      <c r="E80" s="86"/>
      <c r="F80" s="85"/>
      <c r="G80" s="85"/>
      <c r="H80" s="86"/>
      <c r="I80" s="85"/>
      <c r="J80" s="85"/>
      <c r="K80" s="85"/>
      <c r="L80" s="85"/>
    </row>
    <row r="89" spans="3:6" x14ac:dyDescent="0.25">
      <c r="C89" s="156"/>
    </row>
    <row r="90" spans="3:6" x14ac:dyDescent="0.25">
      <c r="C90" s="156"/>
    </row>
    <row r="91" spans="3:6" x14ac:dyDescent="0.25">
      <c r="C91" s="156"/>
      <c r="F91" s="178"/>
    </row>
    <row r="92" spans="3:6" x14ac:dyDescent="0.25">
      <c r="C92" s="156"/>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5" tint="0.39997558519241921"/>
  </sheetPr>
  <dimension ref="A1"/>
  <sheetViews>
    <sheetView showGridLines="0" zoomScale="80" zoomScaleNormal="80" workbookViewId="0">
      <selection activeCell="H11" sqref="H11"/>
    </sheetView>
  </sheetViews>
  <sheetFormatPr baseColWidth="10" defaultColWidth="11.5703125"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1">
    <tabColor theme="9" tint="0.39997558519241921"/>
  </sheetPr>
  <dimension ref="B1:P108"/>
  <sheetViews>
    <sheetView showGridLines="0" zoomScale="90" zoomScaleNormal="90" workbookViewId="0">
      <pane xSplit="4" ySplit="5" topLeftCell="E105" activePane="bottomRight" state="frozen"/>
      <selection pane="topRight" activeCell="E1" sqref="E1"/>
      <selection pane="bottomLeft" activeCell="A6" sqref="A6"/>
      <selection pane="bottomRight" activeCell="P86" sqref="P86"/>
    </sheetView>
  </sheetViews>
  <sheetFormatPr baseColWidth="10" defaultColWidth="11.42578125" defaultRowHeight="15" x14ac:dyDescent="0.25"/>
  <cols>
    <col min="1" max="1" width="0.85546875" style="90" customWidth="1"/>
    <col min="2" max="2" width="31.5703125" style="90" customWidth="1"/>
    <col min="3" max="3" width="26.7109375" style="89" customWidth="1"/>
    <col min="4" max="4" width="0.85546875" style="89" customWidth="1"/>
    <col min="5" max="6" width="15.42578125" style="90" customWidth="1"/>
    <col min="7" max="7" width="1.5703125" style="90" customWidth="1"/>
    <col min="8" max="9" width="15.42578125" style="90" customWidth="1"/>
    <col min="10" max="10" width="1.5703125" style="90" customWidth="1"/>
    <col min="11" max="12" width="15.42578125" style="90" customWidth="1"/>
    <col min="13" max="13" width="1.5703125" style="90" customWidth="1"/>
    <col min="14" max="15" width="15.42578125" style="90" customWidth="1"/>
    <col min="16" max="16" width="14.7109375" style="90" bestFit="1" customWidth="1"/>
    <col min="17" max="16384" width="11.42578125" style="90"/>
  </cols>
  <sheetData>
    <row r="1" spans="2:15" s="194" customFormat="1" ht="26.25" x14ac:dyDescent="0.4">
      <c r="B1" s="189" t="s">
        <v>395</v>
      </c>
      <c r="C1" s="190"/>
      <c r="D1" s="191"/>
      <c r="E1" s="1237" t="str">
        <f>+'Resultados Oc'!B1</f>
        <v>Línea Base</v>
      </c>
      <c r="F1" s="1237"/>
      <c r="G1" s="192"/>
      <c r="H1" s="1237" t="str">
        <f>+'Resultados Oc'!E1</f>
        <v>Escenario 1</v>
      </c>
      <c r="I1" s="1237"/>
      <c r="J1" s="193"/>
      <c r="K1" s="1237" t="str">
        <f>+'Resultados Oc'!H1</f>
        <v>Escenario 2</v>
      </c>
      <c r="L1" s="1237"/>
      <c r="M1" s="192"/>
      <c r="N1" s="1229" t="str">
        <f>+'Resultados Oc'!K1</f>
        <v>Escenario 3</v>
      </c>
      <c r="O1" s="1229"/>
    </row>
    <row r="2" spans="2:15" x14ac:dyDescent="0.25">
      <c r="C2" s="91"/>
      <c r="D2" s="109"/>
      <c r="E2" s="92"/>
      <c r="F2" s="92"/>
      <c r="G2" s="92"/>
      <c r="H2" s="101"/>
      <c r="I2" s="101"/>
      <c r="J2" s="112"/>
      <c r="K2" s="92"/>
      <c r="L2" s="92"/>
      <c r="M2" s="114"/>
      <c r="N2" s="92"/>
      <c r="O2" s="92"/>
    </row>
    <row r="3" spans="2:15" x14ac:dyDescent="0.25">
      <c r="B3" s="120" t="s">
        <v>418</v>
      </c>
      <c r="C3" s="116"/>
      <c r="D3" s="110"/>
      <c r="E3" s="1230"/>
      <c r="F3" s="1230"/>
      <c r="G3" s="111"/>
      <c r="H3" s="1230"/>
      <c r="I3" s="1230"/>
      <c r="J3" s="129"/>
      <c r="K3" s="1230"/>
      <c r="L3" s="1230"/>
      <c r="M3" s="111"/>
      <c r="N3" s="1230"/>
      <c r="O3" s="1230"/>
    </row>
    <row r="4" spans="2:15" x14ac:dyDescent="0.25">
      <c r="B4" s="195" t="s">
        <v>81</v>
      </c>
      <c r="C4" s="196"/>
      <c r="D4" s="109"/>
      <c r="E4" s="1238" t="str">
        <f>+'Resultados Oc'!B4</f>
        <v>Prestador</v>
      </c>
      <c r="F4" s="1238"/>
      <c r="G4" s="92"/>
      <c r="H4" s="1238" t="str">
        <f>+'Resultados Oc'!E4</f>
        <v>Organización de Recicladores</v>
      </c>
      <c r="I4" s="1238"/>
      <c r="J4" s="112"/>
      <c r="K4" s="1238" t="str">
        <f>+'Resultados Oc'!H4</f>
        <v>Prestador</v>
      </c>
      <c r="L4" s="1238"/>
      <c r="M4" s="114"/>
      <c r="N4" s="103" t="str">
        <f>+'Resultados Oc'!K4</f>
        <v>Organización de Recicladores</v>
      </c>
      <c r="O4" s="103"/>
    </row>
    <row r="5" spans="2:15" x14ac:dyDescent="0.25">
      <c r="B5" s="197" t="s">
        <v>121</v>
      </c>
      <c r="C5" s="198"/>
      <c r="D5" s="109"/>
      <c r="E5" s="1238" t="str">
        <f>+'Resultados Oc'!B5</f>
        <v>Prestador</v>
      </c>
      <c r="F5" s="1238"/>
      <c r="G5" s="92"/>
      <c r="H5" s="1238" t="str">
        <f>+'Resultados Oc'!E5</f>
        <v>Prestador</v>
      </c>
      <c r="I5" s="1238"/>
      <c r="J5" s="112"/>
      <c r="K5" s="1238" t="str">
        <f>+'Resultados Oc'!H5</f>
        <v>Organización de Recicladores</v>
      </c>
      <c r="L5" s="1238"/>
      <c r="M5" s="114"/>
      <c r="N5" s="103" t="str">
        <f>+'Resultados Oc'!K5</f>
        <v>Organización de Recicladores</v>
      </c>
      <c r="O5" s="103"/>
    </row>
    <row r="6" spans="2:15" x14ac:dyDescent="0.25">
      <c r="C6" s="93"/>
      <c r="D6" s="91"/>
      <c r="E6" s="92"/>
      <c r="F6" s="92"/>
      <c r="G6" s="92"/>
      <c r="H6" s="92"/>
      <c r="I6" s="92"/>
      <c r="J6" s="92"/>
      <c r="K6" s="92"/>
      <c r="L6" s="92"/>
      <c r="M6" s="92"/>
      <c r="N6" s="92"/>
    </row>
    <row r="7" spans="2:15" ht="23.25" x14ac:dyDescent="0.35">
      <c r="B7" s="1246" t="s">
        <v>419</v>
      </c>
      <c r="C7" s="1247"/>
      <c r="D7" s="1247"/>
      <c r="E7" s="1247"/>
      <c r="F7" s="1247"/>
      <c r="G7" s="1247"/>
      <c r="H7" s="1247"/>
      <c r="I7" s="1247"/>
      <c r="J7" s="1247"/>
      <c r="K7" s="1247"/>
      <c r="L7" s="1247"/>
      <c r="M7" s="1247"/>
      <c r="N7" s="1247"/>
      <c r="O7" s="1248"/>
    </row>
    <row r="8" spans="2:15" x14ac:dyDescent="0.25">
      <c r="C8" s="93"/>
      <c r="D8" s="91"/>
      <c r="E8" s="92"/>
      <c r="F8" s="92"/>
      <c r="G8" s="92"/>
      <c r="H8" s="92"/>
      <c r="I8" s="92"/>
      <c r="J8" s="92"/>
      <c r="K8" s="92"/>
      <c r="L8" s="92"/>
      <c r="M8" s="92"/>
      <c r="N8" s="92"/>
    </row>
    <row r="9" spans="2:15" x14ac:dyDescent="0.25">
      <c r="B9" s="102" t="s">
        <v>0</v>
      </c>
      <c r="C9" s="103" t="str">
        <f>+'Datos Generales'!G11</f>
        <v>Seleccione un país</v>
      </c>
      <c r="D9" s="101"/>
      <c r="G9" s="92"/>
      <c r="M9" s="92"/>
      <c r="N9" s="92"/>
    </row>
    <row r="10" spans="2:15" x14ac:dyDescent="0.25">
      <c r="C10" s="92"/>
      <c r="D10" s="91"/>
      <c r="G10" s="92"/>
      <c r="H10" s="92"/>
      <c r="M10" s="92"/>
      <c r="N10" s="92"/>
    </row>
    <row r="11" spans="2:15" x14ac:dyDescent="0.25">
      <c r="B11" s="102" t="s">
        <v>60</v>
      </c>
      <c r="C11" s="53">
        <f>+'Datos Generales'!G13</f>
        <v>0</v>
      </c>
      <c r="D11" s="91"/>
      <c r="G11" s="92"/>
      <c r="M11" s="92"/>
      <c r="N11" s="92"/>
    </row>
    <row r="12" spans="2:15" x14ac:dyDescent="0.25">
      <c r="B12" s="102"/>
      <c r="C12" s="61"/>
      <c r="D12" s="91"/>
      <c r="G12" s="92"/>
      <c r="I12" s="102"/>
      <c r="K12" s="61"/>
      <c r="L12" s="61"/>
      <c r="M12" s="92"/>
      <c r="N12" s="92"/>
    </row>
    <row r="13" spans="2:15" x14ac:dyDescent="0.25">
      <c r="B13" s="102" t="s">
        <v>420</v>
      </c>
      <c r="C13" s="100">
        <f>+'Datos Generales'!G15</f>
        <v>42644</v>
      </c>
      <c r="D13" s="91"/>
      <c r="G13" s="92"/>
      <c r="I13" s="102"/>
      <c r="K13" s="61"/>
      <c r="L13" s="61"/>
      <c r="M13" s="92"/>
      <c r="N13" s="92"/>
    </row>
    <row r="14" spans="2:15" x14ac:dyDescent="0.25">
      <c r="B14" s="92"/>
      <c r="C14" s="90"/>
      <c r="D14" s="91"/>
      <c r="G14" s="92"/>
      <c r="I14" s="102"/>
      <c r="K14" s="61"/>
      <c r="L14" s="61"/>
      <c r="M14" s="92"/>
      <c r="N14" s="92"/>
    </row>
    <row r="15" spans="2:15" x14ac:dyDescent="0.25">
      <c r="B15" s="102" t="s">
        <v>421</v>
      </c>
      <c r="C15" s="53">
        <f>+IFERROR(Cálculos!G14,0)</f>
        <v>0</v>
      </c>
      <c r="D15" s="91"/>
      <c r="E15" s="92"/>
      <c r="F15" s="92"/>
      <c r="G15" s="92"/>
      <c r="H15" s="92"/>
      <c r="I15" s="92"/>
      <c r="M15" s="92"/>
      <c r="N15" s="92"/>
    </row>
    <row r="16" spans="2:15" x14ac:dyDescent="0.25">
      <c r="C16" s="90"/>
      <c r="D16" s="91"/>
      <c r="E16" s="92"/>
      <c r="F16" s="92"/>
      <c r="G16" s="92"/>
      <c r="H16" s="92"/>
      <c r="I16" s="92"/>
      <c r="M16" s="92"/>
      <c r="N16" s="92"/>
    </row>
    <row r="17" spans="2:16" ht="15.75" x14ac:dyDescent="0.25">
      <c r="B17" s="115" t="str">
        <f>+Cálculos!F6</f>
        <v>Material</v>
      </c>
      <c r="C17" s="95" t="s">
        <v>422</v>
      </c>
      <c r="D17" s="90"/>
      <c r="G17" s="92"/>
      <c r="H17" s="92"/>
      <c r="I17" s="92"/>
      <c r="M17" s="92"/>
      <c r="N17" s="92"/>
    </row>
    <row r="18" spans="2:16" x14ac:dyDescent="0.25">
      <c r="B18" s="103" t="str">
        <f>+Cálculos!F8</f>
        <v>Papel</v>
      </c>
      <c r="C18" s="199">
        <f>+IFERROR(Cálculos!G8,0)</f>
        <v>0</v>
      </c>
      <c r="D18" s="90"/>
      <c r="G18" s="92"/>
      <c r="H18" s="92"/>
      <c r="I18" s="92"/>
      <c r="M18" s="92"/>
      <c r="N18" s="92"/>
    </row>
    <row r="19" spans="2:16" x14ac:dyDescent="0.25">
      <c r="B19" s="103" t="str">
        <f>+Cálculos!F9</f>
        <v>Cartón</v>
      </c>
      <c r="C19" s="199">
        <f>+IFERROR(Cálculos!G9,0)</f>
        <v>0</v>
      </c>
      <c r="D19" s="90"/>
      <c r="G19" s="92"/>
      <c r="H19" s="92"/>
      <c r="I19" s="92"/>
      <c r="J19" s="92"/>
      <c r="K19" s="92"/>
      <c r="L19" s="92"/>
      <c r="M19" s="92"/>
      <c r="N19" s="92"/>
    </row>
    <row r="20" spans="2:16" x14ac:dyDescent="0.25">
      <c r="B20" s="103" t="str">
        <f>+Cálculos!F10</f>
        <v>Vidrio</v>
      </c>
      <c r="C20" s="199">
        <f>+IFERROR(Cálculos!G10,0)</f>
        <v>0</v>
      </c>
      <c r="D20" s="90"/>
      <c r="I20" s="92"/>
      <c r="J20" s="92"/>
      <c r="K20" s="92"/>
      <c r="L20" s="92"/>
      <c r="M20" s="92"/>
      <c r="N20" s="92"/>
    </row>
    <row r="21" spans="2:16" x14ac:dyDescent="0.25">
      <c r="B21" s="103" t="str">
        <f>+Cálculos!F11</f>
        <v>Plástico</v>
      </c>
      <c r="C21" s="199">
        <f>+IFERROR(Cálculos!G11,0)</f>
        <v>0</v>
      </c>
      <c r="D21" s="90"/>
      <c r="I21" s="92"/>
      <c r="J21" s="92"/>
      <c r="K21" s="92"/>
      <c r="L21" s="92"/>
      <c r="M21" s="92"/>
      <c r="N21" s="92"/>
    </row>
    <row r="22" spans="2:16" x14ac:dyDescent="0.25">
      <c r="B22" s="103" t="str">
        <f>+Cálculos!F12</f>
        <v>Metal</v>
      </c>
      <c r="C22" s="199">
        <f>+IFERROR(Cálculos!G12,0)</f>
        <v>0</v>
      </c>
      <c r="D22" s="90"/>
      <c r="I22" s="92"/>
      <c r="J22" s="92"/>
      <c r="K22" s="92"/>
      <c r="L22" s="92"/>
      <c r="M22" s="92"/>
      <c r="N22" s="92"/>
    </row>
    <row r="23" spans="2:16" x14ac:dyDescent="0.25">
      <c r="B23" s="103" t="str">
        <f>+Cálculos!F13</f>
        <v>Otros reciclables</v>
      </c>
      <c r="C23" s="199">
        <f>+IFERROR(Cálculos!G13,0)</f>
        <v>0</v>
      </c>
      <c r="D23" s="90"/>
      <c r="I23" s="92"/>
      <c r="J23" s="92"/>
      <c r="K23" s="92"/>
      <c r="L23" s="92"/>
      <c r="M23" s="92"/>
      <c r="N23" s="92"/>
    </row>
    <row r="24" spans="2:16" x14ac:dyDescent="0.25">
      <c r="C24" s="90"/>
      <c r="D24" s="90"/>
      <c r="I24" s="92"/>
      <c r="J24" s="92"/>
      <c r="K24" s="92"/>
      <c r="L24" s="92"/>
      <c r="M24" s="92"/>
      <c r="N24" s="92"/>
    </row>
    <row r="25" spans="2:16" x14ac:dyDescent="0.25">
      <c r="C25" s="90"/>
      <c r="D25" s="90"/>
      <c r="I25" s="92"/>
      <c r="J25" s="92"/>
      <c r="K25" s="92"/>
      <c r="L25" s="92"/>
      <c r="M25" s="92"/>
      <c r="N25" s="92"/>
    </row>
    <row r="26" spans="2:16" ht="18.75" x14ac:dyDescent="0.3">
      <c r="B26" s="121" t="s">
        <v>423</v>
      </c>
      <c r="C26" s="122" t="str">
        <f>+VLOOKUP(MIN('Resultados Oc'!C93:C96),'Resultados Oc'!C93:D96,2,0)</f>
        <v>Línea base</v>
      </c>
      <c r="D26" s="90"/>
      <c r="I26" s="92"/>
      <c r="J26" s="92"/>
      <c r="K26" s="92"/>
      <c r="L26" s="92"/>
      <c r="M26" s="92"/>
      <c r="N26" s="92"/>
    </row>
    <row r="27" spans="2:16" x14ac:dyDescent="0.25">
      <c r="C27" s="90"/>
      <c r="D27" s="90"/>
      <c r="I27" s="92"/>
      <c r="J27" s="92"/>
      <c r="K27" s="92"/>
      <c r="L27" s="92"/>
      <c r="M27" s="92"/>
      <c r="N27" s="92"/>
    </row>
    <row r="28" spans="2:16" x14ac:dyDescent="0.25">
      <c r="C28" s="90"/>
      <c r="D28" s="91"/>
      <c r="G28" s="92"/>
      <c r="H28" s="92"/>
      <c r="I28" s="92"/>
      <c r="J28" s="92"/>
      <c r="K28" s="92"/>
      <c r="L28" s="92"/>
      <c r="M28" s="92"/>
      <c r="N28" s="92"/>
    </row>
    <row r="29" spans="2:16" ht="55.5" customHeight="1" x14ac:dyDescent="0.25">
      <c r="B29" s="1234" t="s">
        <v>515</v>
      </c>
      <c r="C29" s="1235"/>
      <c r="D29" s="1235"/>
      <c r="E29" s="1235"/>
      <c r="F29" s="1235"/>
      <c r="G29" s="1235"/>
      <c r="H29" s="1235"/>
      <c r="I29" s="1235"/>
      <c r="J29" s="1235"/>
      <c r="K29" s="1235"/>
      <c r="L29" s="1235"/>
      <c r="M29" s="1235"/>
      <c r="N29" s="1235"/>
      <c r="O29" s="1235"/>
      <c r="P29" s="1236"/>
    </row>
    <row r="31" spans="2:16" ht="15.75" x14ac:dyDescent="0.25">
      <c r="B31" s="117" t="s">
        <v>386</v>
      </c>
      <c r="C31" s="97"/>
      <c r="D31" s="98"/>
      <c r="E31" s="98"/>
      <c r="F31" s="98"/>
      <c r="G31" s="98"/>
      <c r="H31" s="98"/>
      <c r="I31" s="98"/>
      <c r="J31" s="98"/>
      <c r="K31" s="98"/>
      <c r="L31" s="98"/>
      <c r="M31" s="98"/>
      <c r="N31" s="98"/>
      <c r="O31" s="99"/>
    </row>
    <row r="33" spans="2:15" s="89" customFormat="1" ht="45" customHeight="1" x14ac:dyDescent="0.25">
      <c r="B33" s="150" t="s">
        <v>307</v>
      </c>
      <c r="C33" s="188"/>
      <c r="D33" s="107"/>
      <c r="E33" s="187" t="str">
        <f>+'Datos Prestador'!G24</f>
        <v>Vehículo motorizado mediano</v>
      </c>
      <c r="F33" s="187" t="str">
        <f>+IF('C.Prestador'!C11&lt;4,"",'Datos Prestador'!O24)</f>
        <v>Equipo de tracción manual</v>
      </c>
      <c r="G33" s="107"/>
      <c r="H33" s="187" t="str">
        <f>+'Datos Recicladores'!G24</f>
        <v>Vehículo motorizado mediano</v>
      </c>
      <c r="I33" s="187" t="str">
        <f>+IF('C.Recicladores'!C11&lt;4,"",'Datos Recicladores'!O24)</f>
        <v>Equipo de tracción manual</v>
      </c>
      <c r="J33" s="107"/>
      <c r="K33" s="187" t="str">
        <f>+'Datos Prestador'!G24</f>
        <v>Vehículo motorizado mediano</v>
      </c>
      <c r="L33" s="187" t="str">
        <f>+IF('C.Prestador'!C11&lt;4,"",'Datos Prestador'!O24)</f>
        <v>Equipo de tracción manual</v>
      </c>
      <c r="M33" s="107"/>
      <c r="N33" s="187" t="str">
        <f>+'Datos Recicladores'!G24</f>
        <v>Vehículo motorizado mediano</v>
      </c>
      <c r="O33" s="187" t="str">
        <f>+IF('C.Recicladores'!C11&lt;4,"",'Datos Recicladores'!O24)</f>
        <v>Equipo de tracción manual</v>
      </c>
    </row>
    <row r="34" spans="2:15" x14ac:dyDescent="0.25">
      <c r="B34" s="179" t="s">
        <v>398</v>
      </c>
      <c r="C34" s="180"/>
      <c r="D34" s="181"/>
      <c r="E34" s="186" t="str">
        <f>+'Resultados Oc'!B11</f>
        <v>3,5 Ton</v>
      </c>
      <c r="F34" s="186" t="str">
        <f>+'Resultados Oc'!C11</f>
        <v>0,25 Ton</v>
      </c>
      <c r="G34" s="130"/>
      <c r="H34" s="182" t="str">
        <f>+'Resultados Oc'!E11</f>
        <v>3,5 Ton</v>
      </c>
      <c r="I34" s="186" t="str">
        <f>+'Resultados Oc'!F11</f>
        <v>3,13 m3</v>
      </c>
      <c r="J34" s="130"/>
      <c r="K34" s="186" t="str">
        <f>+'Resultados Oc'!H11</f>
        <v>3,5 Ton</v>
      </c>
      <c r="L34" s="685" t="str">
        <f>+'Resultados Oc'!I11</f>
        <v>0,25 Ton</v>
      </c>
      <c r="M34" s="130"/>
      <c r="N34" s="182" t="str">
        <f>+'Resultados Oc'!K11</f>
        <v>3,5 Ton</v>
      </c>
      <c r="O34" s="186" t="str">
        <f>+I34</f>
        <v>3,13 m3</v>
      </c>
    </row>
    <row r="35" spans="2:15" x14ac:dyDescent="0.25">
      <c r="B35" s="119" t="s">
        <v>516</v>
      </c>
      <c r="C35" s="94"/>
      <c r="E35" s="106">
        <f>+IFERROR('Resultados Oc'!B12,0)</f>
        <v>0</v>
      </c>
      <c r="F35" s="106">
        <f>+IFERROR('Resultados Oc'!C12,0)</f>
        <v>0</v>
      </c>
      <c r="G35" s="96"/>
      <c r="H35" s="106">
        <f>+IFERROR('Resultados Oc'!E12,0)</f>
        <v>0</v>
      </c>
      <c r="I35" s="106">
        <f>+IFERROR('Resultados Oc'!F12,0)</f>
        <v>0</v>
      </c>
      <c r="J35" s="96"/>
      <c r="K35" s="106">
        <f>+IFERROR('Resultados Oc'!H12,0)</f>
        <v>0</v>
      </c>
      <c r="L35" s="106">
        <f>+IFERROR('Resultados Oc'!I12,0)</f>
        <v>0</v>
      </c>
      <c r="N35" s="106">
        <f>+IFERROR('Resultados Oc'!K12,0)</f>
        <v>0</v>
      </c>
      <c r="O35" s="106">
        <f>+IFERROR('Resultados Oc'!L12,0)</f>
        <v>0</v>
      </c>
    </row>
    <row r="36" spans="2:15" x14ac:dyDescent="0.25">
      <c r="B36" s="210" t="s">
        <v>388</v>
      </c>
      <c r="C36" s="94"/>
      <c r="E36" s="106">
        <f>+IFERROR('Resultados Oc'!B14,0)</f>
        <v>0</v>
      </c>
      <c r="F36" s="106">
        <f>+IFERROR('Resultados Oc'!C14,0)</f>
        <v>0</v>
      </c>
      <c r="G36" s="96"/>
      <c r="H36" s="106">
        <f>+IFERROR('Resultados Oc'!E14,0)</f>
        <v>0</v>
      </c>
      <c r="I36" s="106">
        <f>+IFERROR('Resultados Oc'!F14,0)</f>
        <v>0</v>
      </c>
      <c r="J36" s="96"/>
      <c r="K36" s="106">
        <f>+IFERROR('Resultados Oc'!H14,0)</f>
        <v>0</v>
      </c>
      <c r="L36" s="106">
        <f>+IFERROR('Resultados Oc'!I14,0)</f>
        <v>0</v>
      </c>
      <c r="N36" s="106">
        <f>+IFERROR('Resultados Oc'!K14,0)</f>
        <v>0</v>
      </c>
      <c r="O36" s="106">
        <f>+IFERROR('Resultados Oc'!L14,0)</f>
        <v>0</v>
      </c>
    </row>
    <row r="37" spans="2:15" x14ac:dyDescent="0.25">
      <c r="B37" s="119" t="s">
        <v>441</v>
      </c>
      <c r="C37" s="94"/>
      <c r="E37" s="106">
        <f>+IFERROR('Resultados Oc'!B16,0)</f>
        <v>0</v>
      </c>
      <c r="F37" s="106">
        <f>+IFERROR('Resultados Oc'!C16,0)</f>
        <v>0</v>
      </c>
      <c r="G37" s="96"/>
      <c r="H37" s="106">
        <f>+IFERROR('Resultados Oc'!E16,0)</f>
        <v>0</v>
      </c>
      <c r="I37" s="106">
        <f>+IFERROR('Resultados Oc'!F16,0)</f>
        <v>0</v>
      </c>
      <c r="J37" s="96"/>
      <c r="K37" s="106">
        <f>+IFERROR('Resultados Oc'!H16,0)</f>
        <v>0</v>
      </c>
      <c r="L37" s="106">
        <f>+IFERROR('Resultados Oc'!I16,0)</f>
        <v>0</v>
      </c>
      <c r="N37" s="106">
        <f>+IFERROR('Resultados Oc'!K16,0)</f>
        <v>0</v>
      </c>
      <c r="O37" s="106">
        <f>+IFERROR('Resultados Oc'!L16,0)</f>
        <v>0</v>
      </c>
    </row>
    <row r="38" spans="2:15" x14ac:dyDescent="0.25">
      <c r="B38" s="119" t="s">
        <v>246</v>
      </c>
      <c r="C38" s="94"/>
      <c r="E38" s="106">
        <f>+IFERROR('Resultados Oc'!B17,0)</f>
        <v>0</v>
      </c>
      <c r="F38" s="106">
        <f>+IFERROR('Resultados Oc'!C17,0)</f>
        <v>0</v>
      </c>
      <c r="G38" s="96"/>
      <c r="H38" s="106">
        <f>+IFERROR('Resultados Oc'!E17,0)</f>
        <v>0</v>
      </c>
      <c r="I38" s="106">
        <f>+IFERROR('Resultados Oc'!F17,0)</f>
        <v>0</v>
      </c>
      <c r="J38" s="96"/>
      <c r="K38" s="106">
        <f>+IFERROR('Resultados Oc'!H17,0)</f>
        <v>0</v>
      </c>
      <c r="L38" s="106">
        <f>+IFERROR('Resultados Oc'!I17,0)</f>
        <v>0</v>
      </c>
      <c r="N38" s="106">
        <f>+IFERROR('Resultados Oc'!K17,0)</f>
        <v>0</v>
      </c>
      <c r="O38" s="106">
        <f>+IFERROR('Resultados Oc'!L17,0)</f>
        <v>0</v>
      </c>
    </row>
    <row r="39" spans="2:15" x14ac:dyDescent="0.25">
      <c r="B39" s="119" t="s">
        <v>350</v>
      </c>
      <c r="C39" s="94"/>
      <c r="E39" s="106">
        <f>+IFERROR('Resultados Oc'!B18,0)</f>
        <v>0</v>
      </c>
      <c r="F39" s="106">
        <f>+IFERROR('Resultados Oc'!C18,0)</f>
        <v>0</v>
      </c>
      <c r="G39" s="96"/>
      <c r="H39" s="106">
        <f>+IFERROR('Resultados Oc'!E18,0)</f>
        <v>0</v>
      </c>
      <c r="I39" s="106">
        <f>+IFERROR('Resultados Oc'!F18,0)</f>
        <v>0</v>
      </c>
      <c r="J39" s="96"/>
      <c r="K39" s="106">
        <f>+IFERROR('Resultados Oc'!H18,0)</f>
        <v>0</v>
      </c>
      <c r="L39" s="106">
        <f>+IFERROR('Resultados Oc'!I18,0)</f>
        <v>0</v>
      </c>
      <c r="N39" s="106">
        <f>+IFERROR('Resultados Oc'!K18,0)</f>
        <v>0</v>
      </c>
      <c r="O39" s="106">
        <f>+IFERROR('Resultados Oc'!L18,0)</f>
        <v>0</v>
      </c>
    </row>
    <row r="40" spans="2:15" x14ac:dyDescent="0.25">
      <c r="B40" s="101"/>
      <c r="C40" s="90"/>
      <c r="E40" s="96"/>
      <c r="F40" s="96"/>
      <c r="G40" s="96"/>
      <c r="H40" s="96"/>
      <c r="I40" s="96"/>
      <c r="J40" s="96"/>
      <c r="K40" s="96"/>
      <c r="L40" s="96"/>
      <c r="N40" s="96"/>
      <c r="O40" s="96"/>
    </row>
    <row r="41" spans="2:15" ht="15.75" x14ac:dyDescent="0.25">
      <c r="B41" s="118" t="s">
        <v>304</v>
      </c>
      <c r="C41" s="118"/>
      <c r="D41" s="98"/>
      <c r="E41" s="98"/>
      <c r="F41" s="98"/>
      <c r="G41" s="98"/>
      <c r="H41" s="98"/>
      <c r="I41" s="98"/>
      <c r="J41" s="98"/>
      <c r="K41" s="98"/>
      <c r="L41" s="98"/>
      <c r="M41" s="98"/>
      <c r="N41" s="98"/>
      <c r="O41" s="99"/>
    </row>
    <row r="42" spans="2:15" x14ac:dyDescent="0.25">
      <c r="B42" s="101"/>
      <c r="C42" s="90"/>
      <c r="E42" s="96"/>
      <c r="F42" s="96"/>
      <c r="G42" s="96"/>
      <c r="H42" s="96"/>
      <c r="I42" s="96"/>
      <c r="J42" s="96"/>
      <c r="K42" s="96"/>
      <c r="L42" s="96"/>
      <c r="N42" s="96"/>
      <c r="O42" s="96"/>
    </row>
    <row r="43" spans="2:15" x14ac:dyDescent="0.25">
      <c r="B43" s="119" t="s">
        <v>389</v>
      </c>
      <c r="C43" s="94"/>
      <c r="E43" s="1231">
        <f>+IFERROR('Resultados Oc'!B23,0)</f>
        <v>0</v>
      </c>
      <c r="F43" s="1231"/>
      <c r="G43" s="96"/>
      <c r="H43" s="1231">
        <f>+IFERROR('Resultados Oc'!E23,0)</f>
        <v>0</v>
      </c>
      <c r="I43" s="1231"/>
      <c r="J43" s="96"/>
      <c r="K43" s="1231">
        <f>+IFERROR('Resultados Oc'!H23,0)</f>
        <v>0</v>
      </c>
      <c r="L43" s="1231"/>
      <c r="N43" s="1231">
        <f>+IFERROR('Resultados Oc'!K23,0)</f>
        <v>0</v>
      </c>
      <c r="O43" s="1231">
        <f>+I43</f>
        <v>0</v>
      </c>
    </row>
    <row r="44" spans="2:15" x14ac:dyDescent="0.25">
      <c r="B44" s="119" t="s">
        <v>390</v>
      </c>
      <c r="C44" s="94"/>
      <c r="E44" s="1231">
        <f>+IFERROR(Cálculos!G15,0)</f>
        <v>0</v>
      </c>
      <c r="F44" s="1231"/>
      <c r="G44" s="96"/>
      <c r="H44" s="1231">
        <f>+IFERROR(Cálculos!G15,0)</f>
        <v>0</v>
      </c>
      <c r="I44" s="1231">
        <f>+'Resultados Oc'!F24</f>
        <v>0</v>
      </c>
      <c r="J44" s="96"/>
      <c r="K44" s="1231">
        <f>+IFERROR(Cálculos!G15,0)</f>
        <v>0</v>
      </c>
      <c r="L44" s="1231"/>
      <c r="N44" s="1231">
        <f>+IFERROR(Cálculos!G15,0)</f>
        <v>0</v>
      </c>
      <c r="O44" s="1231">
        <f>+I44</f>
        <v>0</v>
      </c>
    </row>
    <row r="45" spans="2:15" x14ac:dyDescent="0.25">
      <c r="B45" s="119" t="s">
        <v>392</v>
      </c>
      <c r="C45" s="94"/>
      <c r="E45" s="1231">
        <f>+IFERROR('Resultados Oc'!B25,0)</f>
        <v>0</v>
      </c>
      <c r="F45" s="1231"/>
      <c r="G45" s="96"/>
      <c r="H45" s="1231">
        <f>+IFERROR('Resultados Oc'!E25,0)</f>
        <v>0</v>
      </c>
      <c r="I45" s="1231">
        <f>+'Resultados Oc'!F25</f>
        <v>0</v>
      </c>
      <c r="J45" s="96"/>
      <c r="K45" s="1231">
        <f>+IFERROR('Resultados Oc'!H25,0)</f>
        <v>0</v>
      </c>
      <c r="L45" s="1231"/>
      <c r="N45" s="1231">
        <f>+IFERROR('Resultados Oc'!K25,0)</f>
        <v>0</v>
      </c>
      <c r="O45" s="1231">
        <f>+I45</f>
        <v>0</v>
      </c>
    </row>
    <row r="46" spans="2:15" x14ac:dyDescent="0.25">
      <c r="B46" s="184" t="s">
        <v>490</v>
      </c>
      <c r="C46" s="94"/>
      <c r="E46" s="1233">
        <f>+SUM(E47:F49)</f>
        <v>0</v>
      </c>
      <c r="F46" s="1233"/>
      <c r="G46" s="96"/>
      <c r="H46" s="1233">
        <f>+SUM(H47:I49)</f>
        <v>0</v>
      </c>
      <c r="I46" s="1233"/>
      <c r="J46" s="96"/>
      <c r="K46" s="1233">
        <f>+SUM(K47:L49)</f>
        <v>0</v>
      </c>
      <c r="L46" s="1233"/>
      <c r="N46" s="1233">
        <f>+SUM(N47:O49)</f>
        <v>0</v>
      </c>
      <c r="O46" s="1233"/>
    </row>
    <row r="47" spans="2:15" x14ac:dyDescent="0.25">
      <c r="B47" s="183" t="s">
        <v>391</v>
      </c>
      <c r="C47" s="94"/>
      <c r="E47" s="1232">
        <f>+IFERROR('C.RecicladoresRef'!G134,0)</f>
        <v>0</v>
      </c>
      <c r="F47" s="1232"/>
      <c r="G47" s="163"/>
      <c r="H47" s="1232">
        <f>+IFERROR('C.Prestador'!G134,0)</f>
        <v>0</v>
      </c>
      <c r="I47" s="1232">
        <f>+'Resultados Oc'!F26</f>
        <v>0</v>
      </c>
      <c r="J47" s="163"/>
      <c r="K47" s="1232">
        <f>+IFERROR('C.Recicladores'!G134,0)</f>
        <v>0</v>
      </c>
      <c r="L47" s="1232"/>
      <c r="M47" s="185"/>
      <c r="N47" s="1232">
        <f>+IFERROR('C.Recicladores'!G134,0)</f>
        <v>0</v>
      </c>
      <c r="O47" s="1232">
        <f>+I47</f>
        <v>0</v>
      </c>
    </row>
    <row r="48" spans="2:15" x14ac:dyDescent="0.25">
      <c r="B48" s="183" t="s">
        <v>159</v>
      </c>
      <c r="C48" s="94"/>
      <c r="E48" s="1232">
        <f>+IFERROR('C.Prestador'!G135,0)</f>
        <v>0</v>
      </c>
      <c r="F48" s="1232"/>
      <c r="G48" s="163"/>
      <c r="H48" s="1232">
        <f>+IFERROR('C.Prestador'!G135,0)</f>
        <v>0</v>
      </c>
      <c r="I48" s="1232">
        <f>+'Resultados Oc'!F27</f>
        <v>0</v>
      </c>
      <c r="J48" s="163"/>
      <c r="K48" s="1232">
        <f>+IFERROR('C.Recicladores'!G135,0)</f>
        <v>0</v>
      </c>
      <c r="L48" s="1232"/>
      <c r="M48" s="185"/>
      <c r="N48" s="1232">
        <f>+IFERROR('C.Recicladores'!G135,0)</f>
        <v>0</v>
      </c>
      <c r="O48" s="1232">
        <f>+I48</f>
        <v>0</v>
      </c>
    </row>
    <row r="49" spans="2:16" x14ac:dyDescent="0.25">
      <c r="B49" s="183" t="s">
        <v>393</v>
      </c>
      <c r="C49" s="94"/>
      <c r="E49" s="1232">
        <f>+IFERROR('C.Prestador'!G136,0)</f>
        <v>0</v>
      </c>
      <c r="F49" s="1232"/>
      <c r="G49" s="163"/>
      <c r="H49" s="1232">
        <f>+IFERROR('C.Prestador'!G136,0)</f>
        <v>0</v>
      </c>
      <c r="I49" s="1232">
        <f>+'Resultados Oc'!F28</f>
        <v>0</v>
      </c>
      <c r="J49" s="163"/>
      <c r="K49" s="1232">
        <f>+IFERROR('C.Recicladores'!G136,0)</f>
        <v>0</v>
      </c>
      <c r="L49" s="1232"/>
      <c r="M49" s="185"/>
      <c r="N49" s="1232">
        <f>+IFERROR('C.Recicladores'!G136,0)</f>
        <v>0</v>
      </c>
      <c r="O49" s="1232">
        <f>+I49</f>
        <v>0</v>
      </c>
    </row>
    <row r="50" spans="2:16" x14ac:dyDescent="0.25">
      <c r="B50" s="101"/>
      <c r="C50" s="90"/>
      <c r="E50" s="96"/>
      <c r="F50" s="96"/>
      <c r="G50" s="96"/>
      <c r="H50" s="96"/>
      <c r="I50" s="96"/>
      <c r="J50" s="96"/>
      <c r="K50" s="96"/>
      <c r="L50" s="96"/>
      <c r="N50" s="96"/>
      <c r="O50" s="96"/>
    </row>
    <row r="51" spans="2:16" s="105" customFormat="1" ht="42" customHeight="1" x14ac:dyDescent="0.25">
      <c r="B51" s="1243" t="s">
        <v>442</v>
      </c>
      <c r="C51" s="1244"/>
      <c r="D51" s="104"/>
      <c r="E51" s="1239" t="str">
        <f>+'Resultados Oc'!B32</f>
        <v>No aplica</v>
      </c>
      <c r="F51" s="1239"/>
      <c r="G51" s="108"/>
      <c r="H51" s="1239">
        <f>+IFERROR('Resultados Oc'!E32,0)</f>
        <v>0</v>
      </c>
      <c r="I51" s="1239">
        <f>+'Resultados Oc'!F32</f>
        <v>0</v>
      </c>
      <c r="J51" s="108"/>
      <c r="K51" s="1239">
        <f>+IFERROR('Resultados Oc'!H32,0)</f>
        <v>0</v>
      </c>
      <c r="L51" s="1239"/>
      <c r="N51" s="1239">
        <f>+IFERROR('Resultados Oc'!K32,0)</f>
        <v>0</v>
      </c>
      <c r="O51" s="1239"/>
    </row>
    <row r="52" spans="2:16" x14ac:dyDescent="0.25">
      <c r="B52" s="101"/>
      <c r="C52" s="90"/>
    </row>
    <row r="53" spans="2:16" x14ac:dyDescent="0.25">
      <c r="B53" s="101"/>
      <c r="C53" s="90"/>
    </row>
    <row r="54" spans="2:16" ht="21" customHeight="1" x14ac:dyDescent="0.25">
      <c r="B54" s="1240" t="s">
        <v>724</v>
      </c>
      <c r="C54" s="1241"/>
      <c r="D54" s="1241"/>
      <c r="E54" s="1241"/>
      <c r="F54" s="1241"/>
      <c r="G54" s="1241"/>
      <c r="H54" s="1241"/>
      <c r="I54" s="1241"/>
      <c r="J54" s="1241"/>
      <c r="K54" s="1241"/>
      <c r="L54" s="1241"/>
      <c r="M54" s="1241"/>
      <c r="N54" s="1241"/>
      <c r="O54" s="1241"/>
      <c r="P54" s="1242"/>
    </row>
    <row r="57" spans="2:16" x14ac:dyDescent="0.25">
      <c r="B57" s="205" t="s">
        <v>485</v>
      </c>
      <c r="C57" s="206"/>
      <c r="D57" s="181"/>
      <c r="E57" s="1228">
        <f>+IFERROR('Resultados Oc'!B39,0)</f>
        <v>0</v>
      </c>
      <c r="F57" s="1228"/>
      <c r="G57" s="207"/>
      <c r="H57" s="1228">
        <f>+IFERROR('Resultados Oc'!E39,0)</f>
        <v>0</v>
      </c>
      <c r="I57" s="1228"/>
      <c r="J57" s="130"/>
      <c r="K57" s="1228">
        <f>+IFERROR('Resultados Oc'!H39,0)</f>
        <v>0</v>
      </c>
      <c r="L57" s="1228"/>
      <c r="N57" s="1228">
        <f>+IFERROR('Resultados Oc'!K39,0)</f>
        <v>0</v>
      </c>
      <c r="O57" s="1228"/>
    </row>
    <row r="58" spans="2:16" x14ac:dyDescent="0.25">
      <c r="B58" s="119" t="s">
        <v>401</v>
      </c>
      <c r="C58" s="94"/>
      <c r="E58" s="1227">
        <f>+IFERROR('Resultados Oc'!B40,0)</f>
        <v>0</v>
      </c>
      <c r="F58" s="1227"/>
      <c r="G58" s="200"/>
      <c r="H58" s="1227">
        <f>+IFERROR('Resultados Oc'!E40,0)</f>
        <v>0</v>
      </c>
      <c r="I58" s="1227"/>
      <c r="K58" s="1227">
        <f>+IFERROR('Resultados Oc'!H40,0)</f>
        <v>0</v>
      </c>
      <c r="L58" s="1227"/>
      <c r="N58" s="1227">
        <f>+IFERROR('Resultados Oc'!K40,0)</f>
        <v>0</v>
      </c>
      <c r="O58" s="1227"/>
    </row>
    <row r="59" spans="2:16" x14ac:dyDescent="0.25">
      <c r="B59" s="119" t="s">
        <v>81</v>
      </c>
      <c r="C59" s="94"/>
      <c r="E59" s="1227">
        <f>+IFERROR('Resultados Oc'!B41,0)</f>
        <v>0</v>
      </c>
      <c r="F59" s="1227"/>
      <c r="G59" s="200"/>
      <c r="H59" s="1227">
        <f>+IFERROR('Resultados Oc'!E41,0)</f>
        <v>0</v>
      </c>
      <c r="I59" s="1227"/>
      <c r="K59" s="1227">
        <f>+IFERROR('Resultados Oc'!H41,0)</f>
        <v>0</v>
      </c>
      <c r="L59" s="1227"/>
      <c r="N59" s="1227">
        <f>+IFERROR('Resultados Oc'!K41,0)</f>
        <v>0</v>
      </c>
      <c r="O59" s="1227"/>
    </row>
    <row r="60" spans="2:16" x14ac:dyDescent="0.25">
      <c r="B60" s="119" t="s">
        <v>402</v>
      </c>
      <c r="C60" s="94"/>
      <c r="E60" s="1227">
        <f>+IFERROR('Resultados Oc'!B42,0)</f>
        <v>0</v>
      </c>
      <c r="F60" s="1227"/>
      <c r="G60" s="200"/>
      <c r="H60" s="1227">
        <f>+IFERROR('Resultados Oc'!E42,0)</f>
        <v>0</v>
      </c>
      <c r="I60" s="1227"/>
      <c r="K60" s="1227">
        <f>+IFERROR('Resultados Oc'!H42,0)</f>
        <v>0</v>
      </c>
      <c r="L60" s="1227"/>
      <c r="N60" s="1227">
        <f>+IFERROR('Resultados Oc'!K42,0)</f>
        <v>0</v>
      </c>
      <c r="O60" s="1227"/>
    </row>
    <row r="61" spans="2:16" x14ac:dyDescent="0.25">
      <c r="B61" s="119" t="s">
        <v>482</v>
      </c>
      <c r="C61" s="94"/>
      <c r="E61" s="1227">
        <f>+'Resultados Oc'!B43</f>
        <v>0</v>
      </c>
      <c r="F61" s="1227"/>
      <c r="G61" s="200"/>
      <c r="H61" s="1227">
        <f>+IFERROR('Resultados Oc'!E43,0)</f>
        <v>0</v>
      </c>
      <c r="I61" s="1227"/>
      <c r="K61" s="1227">
        <f>+IFERROR('Resultados Oc'!H43,0)</f>
        <v>0</v>
      </c>
      <c r="L61" s="1227"/>
      <c r="N61" s="1227">
        <f>+IFERROR('Resultados Oc'!K43,0)</f>
        <v>0</v>
      </c>
      <c r="O61" s="1227"/>
    </row>
    <row r="62" spans="2:16" x14ac:dyDescent="0.25">
      <c r="E62" s="200"/>
      <c r="F62" s="200"/>
      <c r="G62" s="200"/>
      <c r="H62" s="200"/>
      <c r="I62" s="200"/>
    </row>
    <row r="63" spans="2:16" x14ac:dyDescent="0.25">
      <c r="B63" s="205" t="s">
        <v>486</v>
      </c>
      <c r="C63" s="206"/>
      <c r="D63" s="181"/>
      <c r="E63" s="1228">
        <f>+IFERROR('Resultados Oc'!B45,0)</f>
        <v>0</v>
      </c>
      <c r="F63" s="1228"/>
      <c r="G63" s="207"/>
      <c r="H63" s="1228">
        <f>+IFERROR('Resultados Oc'!E45,0)</f>
        <v>0</v>
      </c>
      <c r="I63" s="1228"/>
      <c r="J63" s="130"/>
      <c r="K63" s="1245">
        <f>+'Resultados Oc'!H45</f>
        <v>0</v>
      </c>
      <c r="L63" s="1245"/>
      <c r="N63" s="1228">
        <f>+'Resultados Oc'!K45</f>
        <v>0</v>
      </c>
      <c r="O63" s="1228"/>
    </row>
    <row r="64" spans="2:16" x14ac:dyDescent="0.25">
      <c r="B64" s="119" t="s">
        <v>81</v>
      </c>
      <c r="C64" s="94"/>
      <c r="E64" s="1227">
        <f>+IFERROR('Resultados Oc'!B46,0)</f>
        <v>0</v>
      </c>
      <c r="F64" s="1227"/>
      <c r="G64" s="200"/>
      <c r="H64" s="1227">
        <f>+IFERROR('Resultados Oc'!E46,0)</f>
        <v>0</v>
      </c>
      <c r="I64" s="1227"/>
      <c r="K64" s="1227">
        <f>+IFERROR('Resultados Oc'!H46,0)</f>
        <v>0</v>
      </c>
      <c r="L64" s="1227"/>
      <c r="N64" s="1227">
        <f>+IFERROR('Resultados Oc'!K46,0)</f>
        <v>0</v>
      </c>
      <c r="O64" s="1227"/>
    </row>
    <row r="65" spans="2:16" x14ac:dyDescent="0.25">
      <c r="B65" s="119" t="s">
        <v>402</v>
      </c>
      <c r="C65" s="94"/>
      <c r="E65" s="1227">
        <f>+IFERROR('Resultados Oc'!B47,0)</f>
        <v>0</v>
      </c>
      <c r="F65" s="1227"/>
      <c r="G65" s="200"/>
      <c r="H65" s="1227">
        <f>+IFERROR('Resultados Oc'!E47,0)</f>
        <v>0</v>
      </c>
      <c r="I65" s="1227"/>
      <c r="K65" s="1227">
        <f>+IFERROR('Resultados Oc'!H47,0)</f>
        <v>0</v>
      </c>
      <c r="L65" s="1227"/>
      <c r="N65" s="1227">
        <f>+IFERROR('Resultados Oc'!K47,0)</f>
        <v>0</v>
      </c>
      <c r="O65" s="1227"/>
    </row>
    <row r="66" spans="2:16" x14ac:dyDescent="0.25">
      <c r="B66" s="119" t="s">
        <v>405</v>
      </c>
      <c r="C66" s="94"/>
      <c r="E66" s="1227">
        <f>+IFERROR('Resultados Oc'!B48,0)</f>
        <v>0</v>
      </c>
      <c r="F66" s="1227"/>
      <c r="G66" s="200"/>
      <c r="H66" s="1227">
        <f>+IFERROR('Resultados Oc'!E48,0)</f>
        <v>0</v>
      </c>
      <c r="I66" s="1227"/>
      <c r="K66" s="1227">
        <f>+IFERROR('Resultados Oc'!H48,0)</f>
        <v>0</v>
      </c>
      <c r="L66" s="1227"/>
      <c r="N66" s="1227">
        <f>+IFERROR('Resultados Oc'!K48,0)</f>
        <v>0</v>
      </c>
      <c r="O66" s="1227"/>
    </row>
    <row r="67" spans="2:16" x14ac:dyDescent="0.25">
      <c r="B67" s="205" t="s">
        <v>487</v>
      </c>
      <c r="C67" s="94"/>
      <c r="E67" s="1228">
        <f>+IFERROR('Resultados Oc'!B49,0)</f>
        <v>0</v>
      </c>
      <c r="F67" s="1228"/>
      <c r="G67" s="207"/>
      <c r="H67" s="1228">
        <f>+IFERROR('Resultados Oc'!E49,0)</f>
        <v>0</v>
      </c>
      <c r="I67" s="1228"/>
      <c r="J67" s="130"/>
      <c r="K67" s="1228">
        <f>+IFERROR('Resultados Oc'!H49,0)</f>
        <v>0</v>
      </c>
      <c r="L67" s="1228"/>
      <c r="M67" s="130"/>
      <c r="N67" s="1228">
        <f>+IFERROR('Resultados Oc'!K49,0)</f>
        <v>0</v>
      </c>
      <c r="O67" s="1228"/>
    </row>
    <row r="68" spans="2:16" x14ac:dyDescent="0.25">
      <c r="B68" s="205" t="s">
        <v>416</v>
      </c>
      <c r="C68" s="94"/>
      <c r="E68" s="1226" t="str">
        <f>+'Resultados Oc'!B50</f>
        <v>Cubre costos</v>
      </c>
      <c r="F68" s="1226"/>
      <c r="G68" s="200"/>
      <c r="H68" s="1226" t="str">
        <f>+'Resultados Oc'!E50</f>
        <v>Cubre costos</v>
      </c>
      <c r="I68" s="1226"/>
      <c r="K68" s="1226" t="str">
        <f>+'Resultados Oc'!H50</f>
        <v>Cubre costos</v>
      </c>
      <c r="L68" s="1226"/>
      <c r="N68" s="1226" t="str">
        <f>+'Resultados Oc'!K50</f>
        <v>Cubre costos</v>
      </c>
      <c r="O68" s="1226"/>
    </row>
    <row r="71" spans="2:16" ht="21" customHeight="1" x14ac:dyDescent="0.25">
      <c r="B71" s="1240" t="s">
        <v>723</v>
      </c>
      <c r="C71" s="1241"/>
      <c r="D71" s="1241"/>
      <c r="E71" s="1241"/>
      <c r="F71" s="1241"/>
      <c r="G71" s="1241"/>
      <c r="H71" s="1241"/>
      <c r="I71" s="1241"/>
      <c r="J71" s="1241"/>
      <c r="K71" s="1241"/>
      <c r="L71" s="1241"/>
      <c r="M71" s="1241"/>
      <c r="N71" s="1241"/>
      <c r="O71" s="1241"/>
      <c r="P71" s="1242"/>
    </row>
    <row r="73" spans="2:16" x14ac:dyDescent="0.25">
      <c r="B73" s="90" t="s">
        <v>493</v>
      </c>
    </row>
    <row r="75" spans="2:16" ht="15.75" x14ac:dyDescent="0.25">
      <c r="B75" s="1221" t="s">
        <v>491</v>
      </c>
      <c r="C75" s="1222"/>
      <c r="D75" s="1222"/>
      <c r="E75" s="1222"/>
      <c r="F75" s="1222"/>
      <c r="G75" s="1222"/>
      <c r="H75" s="1222"/>
      <c r="I75" s="1222"/>
      <c r="J75" s="1222"/>
      <c r="K75" s="1222"/>
      <c r="L75" s="1222"/>
      <c r="M75" s="1222"/>
      <c r="N75" s="1222"/>
      <c r="O75" s="1222"/>
      <c r="P75" s="1223"/>
    </row>
    <row r="76" spans="2:16" x14ac:dyDescent="0.25">
      <c r="D76" s="90"/>
    </row>
    <row r="78" spans="2:16" x14ac:dyDescent="0.25">
      <c r="B78" s="208" t="s">
        <v>478</v>
      </c>
      <c r="C78" s="209"/>
      <c r="D78" s="181"/>
      <c r="E78" s="1228">
        <f>+SUM(E79:F81)</f>
        <v>0</v>
      </c>
      <c r="F78" s="1228"/>
      <c r="G78" s="130"/>
      <c r="H78" s="1228">
        <f>+SUM(H79:I81)</f>
        <v>0</v>
      </c>
      <c r="I78" s="1228"/>
      <c r="J78" s="130"/>
      <c r="K78" s="1228">
        <f>+SUM(K79:L81)</f>
        <v>0</v>
      </c>
      <c r="L78" s="1228"/>
      <c r="N78" s="1227">
        <v>0</v>
      </c>
      <c r="O78" s="1227"/>
    </row>
    <row r="79" spans="2:16" x14ac:dyDescent="0.25">
      <c r="B79" s="1219" t="s">
        <v>401</v>
      </c>
      <c r="C79" s="1220"/>
      <c r="E79" s="1227">
        <f>+IFERROR('C.Prestador'!C197*12,0)</f>
        <v>0</v>
      </c>
      <c r="F79" s="1227"/>
      <c r="H79" s="1227">
        <f>+IFERROR('C.Prestador'!C197*12,0)</f>
        <v>0</v>
      </c>
      <c r="I79" s="1227"/>
      <c r="K79" s="1227">
        <f>+IFERROR('C.Recicladores'!F197*12,0)</f>
        <v>0</v>
      </c>
      <c r="L79" s="1227"/>
      <c r="N79" s="1227">
        <v>0</v>
      </c>
      <c r="O79" s="1227"/>
    </row>
    <row r="80" spans="2:16" x14ac:dyDescent="0.25">
      <c r="B80" s="1219" t="s">
        <v>81</v>
      </c>
      <c r="C80" s="1220"/>
      <c r="E80" s="1227">
        <f>+IFERROR('Datos Prestador'!G286*'C.Prestador'!C109,0)</f>
        <v>0</v>
      </c>
      <c r="F80" s="1227"/>
      <c r="H80" s="1227">
        <v>0</v>
      </c>
      <c r="I80" s="1227"/>
      <c r="K80" s="1227">
        <f>+IFERROR('Datos Prestador'!G286*'C.Prestador'!C109,0)</f>
        <v>0</v>
      </c>
      <c r="L80" s="1227"/>
      <c r="N80" s="1227">
        <v>0</v>
      </c>
      <c r="O80" s="1227"/>
    </row>
    <row r="81" spans="2:16" x14ac:dyDescent="0.25">
      <c r="B81" s="1219" t="s">
        <v>402</v>
      </c>
      <c r="C81" s="1220"/>
      <c r="E81" s="1227">
        <f>+IFERROR('Datos Prestador'!N286*'C.Prestador'!C109,0)</f>
        <v>0</v>
      </c>
      <c r="F81" s="1227"/>
      <c r="H81" s="1227">
        <f>+IFERROR('Datos Prestador'!N286*'C.Prestador'!C109,0)</f>
        <v>0</v>
      </c>
      <c r="I81" s="1227"/>
      <c r="K81" s="1227">
        <v>0</v>
      </c>
      <c r="L81" s="1227"/>
      <c r="N81" s="1227">
        <v>0</v>
      </c>
      <c r="O81" s="1227"/>
    </row>
    <row r="82" spans="2:16" s="130" customFormat="1" x14ac:dyDescent="0.25">
      <c r="B82" s="1224" t="s">
        <v>479</v>
      </c>
      <c r="C82" s="1225"/>
      <c r="D82" s="181"/>
      <c r="E82" s="1228">
        <f>+SUM(E83:F85)</f>
        <v>33.576411600416144</v>
      </c>
      <c r="F82" s="1228"/>
      <c r="H82" s="1228">
        <f>+SUM(H83:I85)</f>
        <v>0</v>
      </c>
      <c r="I82" s="1228"/>
      <c r="K82" s="1228">
        <f>+SUM(K83:L85)</f>
        <v>33.576411600416144</v>
      </c>
      <c r="L82" s="1228"/>
      <c r="N82" s="1228" t="e">
        <f>+SUM(N83:O85)</f>
        <v>#DIV/0!</v>
      </c>
      <c r="O82" s="1228"/>
    </row>
    <row r="83" spans="2:16" x14ac:dyDescent="0.25">
      <c r="B83" s="1219" t="s">
        <v>81</v>
      </c>
      <c r="C83" s="1220"/>
      <c r="E83" s="1227">
        <f>+IFERROR('C.Prestador'!O91*12,0)</f>
        <v>33.576411600416144</v>
      </c>
      <c r="F83" s="1227"/>
      <c r="H83" s="1227">
        <f>+IFERROR('C.Recicladores'!O91*12,0)</f>
        <v>0</v>
      </c>
      <c r="I83" s="1227"/>
      <c r="K83" s="1249">
        <f>+IFERROR('C.Prestador'!O91*12,0)</f>
        <v>33.576411600416144</v>
      </c>
      <c r="L83" s="1249"/>
      <c r="N83" s="1227">
        <f>+IFERROR('C.Recicladores'!O91*12,0)</f>
        <v>0</v>
      </c>
      <c r="O83" s="1227"/>
    </row>
    <row r="84" spans="2:16" x14ac:dyDescent="0.25">
      <c r="B84" s="1219" t="s">
        <v>402</v>
      </c>
      <c r="C84" s="1220"/>
      <c r="E84" s="1227">
        <f>+IFERROR('C.Prestador'!O178*12,0)</f>
        <v>0</v>
      </c>
      <c r="F84" s="1227"/>
      <c r="H84" s="1227">
        <f>+IFERROR('C.Prestador'!O178*12,0)</f>
        <v>0</v>
      </c>
      <c r="I84" s="1227"/>
      <c r="K84" s="1227">
        <f>+IFERROR('C.Recicladores'!O178*12,0)</f>
        <v>0</v>
      </c>
      <c r="L84" s="1227"/>
      <c r="N84" s="1227" t="e">
        <f>+'C.Recicladores'!O178*12</f>
        <v>#DIV/0!</v>
      </c>
      <c r="O84" s="1227"/>
    </row>
    <row r="85" spans="2:16" x14ac:dyDescent="0.25">
      <c r="B85" s="1219" t="s">
        <v>405</v>
      </c>
      <c r="C85" s="1220"/>
      <c r="E85" s="1227">
        <v>0</v>
      </c>
      <c r="F85" s="1227"/>
      <c r="H85" s="1227">
        <f>+IFERROR('C.Recicladores'!F197*12,0)</f>
        <v>0</v>
      </c>
      <c r="I85" s="1227"/>
      <c r="K85" s="1227">
        <v>0</v>
      </c>
      <c r="L85" s="1227"/>
      <c r="N85" s="1227">
        <v>0</v>
      </c>
      <c r="O85" s="1227"/>
    </row>
    <row r="86" spans="2:16" s="130" customFormat="1" x14ac:dyDescent="0.25">
      <c r="B86" s="1224" t="s">
        <v>494</v>
      </c>
      <c r="C86" s="1225"/>
      <c r="D86" s="181"/>
      <c r="E86" s="1228">
        <f>+E78-E82</f>
        <v>-33.576411600416144</v>
      </c>
      <c r="F86" s="1228"/>
      <c r="H86" s="1228">
        <f>+H78-H82</f>
        <v>0</v>
      </c>
      <c r="I86" s="1228"/>
      <c r="K86" s="1228">
        <f>+K78-K82</f>
        <v>-33.576411600416144</v>
      </c>
      <c r="L86" s="1228"/>
      <c r="N86" s="1228" t="e">
        <f>+N78-N82</f>
        <v>#DIV/0!</v>
      </c>
      <c r="O86" s="1228"/>
      <c r="P86" s="90"/>
    </row>
    <row r="87" spans="2:16" x14ac:dyDescent="0.25">
      <c r="B87" s="1224" t="s">
        <v>425</v>
      </c>
      <c r="C87" s="1225"/>
      <c r="D87" s="181"/>
      <c r="E87" s="1226" t="str">
        <f>+IF(E86&gt;=0,"Cubre costos","No cubre costos")</f>
        <v>No cubre costos</v>
      </c>
      <c r="F87" s="1226"/>
      <c r="G87" s="130"/>
      <c r="H87" s="1226" t="str">
        <f>+IF(H86&gt;=0,"Cubre costos","No cubre costos")</f>
        <v>Cubre costos</v>
      </c>
      <c r="I87" s="1226"/>
      <c r="J87" s="130"/>
      <c r="K87" s="1226" t="str">
        <f>+IF(K86&gt;=0,"Cubre costos","No cubre costos")</f>
        <v>No cubre costos</v>
      </c>
      <c r="L87" s="1226"/>
      <c r="N87" s="1226" t="e">
        <f>+IF(N86&gt;=0,"Cubre costos","No cubre costos")</f>
        <v>#DIV/0!</v>
      </c>
      <c r="O87" s="1226"/>
    </row>
    <row r="89" spans="2:16" ht="15.75" x14ac:dyDescent="0.25">
      <c r="B89" s="1221" t="s">
        <v>403</v>
      </c>
      <c r="C89" s="1222"/>
      <c r="D89" s="1222"/>
      <c r="E89" s="1222"/>
      <c r="F89" s="1222"/>
      <c r="G89" s="1222"/>
      <c r="H89" s="1222"/>
      <c r="I89" s="1222"/>
      <c r="J89" s="1222"/>
      <c r="K89" s="1222"/>
      <c r="L89" s="1222"/>
      <c r="M89" s="1222"/>
      <c r="N89" s="1222"/>
      <c r="O89" s="1222"/>
      <c r="P89" s="1223"/>
    </row>
    <row r="91" spans="2:16" s="130" customFormat="1" x14ac:dyDescent="0.25">
      <c r="B91" s="208" t="s">
        <v>478</v>
      </c>
      <c r="C91" s="209"/>
      <c r="D91" s="181"/>
      <c r="E91" s="1228">
        <v>0</v>
      </c>
      <c r="F91" s="1228"/>
      <c r="H91" s="1228">
        <f>+SUM(H92:I96)</f>
        <v>0</v>
      </c>
      <c r="I91" s="1228"/>
      <c r="K91" s="1228">
        <f>+SUM(K92:L96)</f>
        <v>0</v>
      </c>
      <c r="L91" s="1228"/>
      <c r="N91" s="1228">
        <f>+SUM(N92:O96)</f>
        <v>0</v>
      </c>
      <c r="O91" s="1228"/>
    </row>
    <row r="92" spans="2:16" x14ac:dyDescent="0.25">
      <c r="B92" s="1219" t="s">
        <v>401</v>
      </c>
      <c r="C92" s="1220"/>
      <c r="E92" s="1227">
        <v>0</v>
      </c>
      <c r="F92" s="1227"/>
      <c r="H92" s="1227">
        <f>+IFERROR('C.Prestador'!F197*12,0)</f>
        <v>0</v>
      </c>
      <c r="I92" s="1227"/>
      <c r="K92" s="1227">
        <f>+IFERROR('C.Recicladores'!C197*12,0)</f>
        <v>0</v>
      </c>
      <c r="L92" s="1227"/>
      <c r="N92" s="1227">
        <f>+IFERROR('C.Recicladores'!C197*12,0)</f>
        <v>0</v>
      </c>
      <c r="O92" s="1227"/>
    </row>
    <row r="93" spans="2:16" x14ac:dyDescent="0.25">
      <c r="B93" s="1219" t="s">
        <v>81</v>
      </c>
      <c r="C93" s="1220"/>
      <c r="E93" s="1227">
        <v>0</v>
      </c>
      <c r="F93" s="1227"/>
      <c r="H93" s="1227">
        <f>+IFERROR('C.Recicladores'!C203*12,0)</f>
        <v>0</v>
      </c>
      <c r="I93" s="1227"/>
      <c r="K93" s="1227">
        <v>0</v>
      </c>
      <c r="L93" s="1227"/>
      <c r="N93" s="1227">
        <f>+IFERROR('C.Recicladores'!C203*12,0)</f>
        <v>0</v>
      </c>
      <c r="O93" s="1227"/>
    </row>
    <row r="94" spans="2:16" x14ac:dyDescent="0.25">
      <c r="B94" s="1219" t="s">
        <v>402</v>
      </c>
      <c r="C94" s="1220"/>
      <c r="E94" s="1227">
        <v>0</v>
      </c>
      <c r="F94" s="1227"/>
      <c r="H94" s="1227">
        <v>0</v>
      </c>
      <c r="I94" s="1227"/>
      <c r="K94" s="1227">
        <f>+IFERROR('C.RecicladoresRef'!C204*12,0)</f>
        <v>0</v>
      </c>
      <c r="L94" s="1227"/>
      <c r="N94" s="1227">
        <f>+IFERROR('C.RecicladoresRef'!C204*12,0)</f>
        <v>0</v>
      </c>
      <c r="O94" s="1227"/>
    </row>
    <row r="95" spans="2:16" x14ac:dyDescent="0.25">
      <c r="B95" s="1219" t="s">
        <v>495</v>
      </c>
      <c r="C95" s="1220"/>
      <c r="E95" s="1227">
        <v>0</v>
      </c>
      <c r="F95" s="1227"/>
      <c r="H95" s="1227">
        <f>+IFERROR('C.Recicladores'!F219*12,0)</f>
        <v>0</v>
      </c>
      <c r="I95" s="1227"/>
      <c r="K95" s="1227">
        <f>+IFERROR('C.Recicladores'!F219*12,0)</f>
        <v>0</v>
      </c>
      <c r="L95" s="1227"/>
      <c r="N95" s="1227">
        <f>+IFERROR('C.Recicladores'!F219*12,0)</f>
        <v>0</v>
      </c>
      <c r="O95" s="1227"/>
    </row>
    <row r="96" spans="2:16" x14ac:dyDescent="0.25">
      <c r="B96" s="1219" t="s">
        <v>496</v>
      </c>
      <c r="C96" s="1220"/>
      <c r="E96" s="1227">
        <v>0</v>
      </c>
      <c r="F96" s="1227"/>
      <c r="H96" s="1227">
        <f>+IFERROR('C.Recicladores'!F220*12,0)</f>
        <v>0</v>
      </c>
      <c r="I96" s="1227"/>
      <c r="K96" s="1227">
        <f>+IFERROR('C.Recicladores'!F221*12,0)</f>
        <v>0</v>
      </c>
      <c r="L96" s="1227"/>
      <c r="N96" s="1227">
        <f>+IFERROR(12*('C.Recicladores'!F220+'C.Recicladores'!F221),0)</f>
        <v>0</v>
      </c>
      <c r="O96" s="1227"/>
    </row>
    <row r="97" spans="2:16" s="130" customFormat="1" x14ac:dyDescent="0.25">
      <c r="B97" s="1224" t="s">
        <v>479</v>
      </c>
      <c r="C97" s="1225"/>
      <c r="D97" s="181"/>
      <c r="E97" s="1228">
        <f>+SUM(E98:F100)</f>
        <v>0</v>
      </c>
      <c r="F97" s="1228"/>
      <c r="H97" s="1228">
        <f>+SUM(H98:I100)</f>
        <v>0</v>
      </c>
      <c r="I97" s="1228"/>
      <c r="K97" s="1228">
        <f>+SUM(K98:L100)</f>
        <v>0</v>
      </c>
      <c r="L97" s="1228"/>
      <c r="N97" s="1228">
        <f>+SUM(N98:O100)</f>
        <v>0</v>
      </c>
      <c r="O97" s="1228"/>
    </row>
    <row r="98" spans="2:16" x14ac:dyDescent="0.25">
      <c r="B98" s="1219" t="s">
        <v>81</v>
      </c>
      <c r="C98" s="1220"/>
      <c r="E98" s="1227">
        <f>+IFERROR('C.Prestador'!P91*12,0)</f>
        <v>0</v>
      </c>
      <c r="F98" s="1227"/>
      <c r="H98" s="1227">
        <f>+IFERROR('C.Recicladores'!P91*12,0)</f>
        <v>0</v>
      </c>
      <c r="I98" s="1227"/>
      <c r="K98" s="1227">
        <f>+IFERROR('C.Prestador'!P91*12,0)</f>
        <v>0</v>
      </c>
      <c r="L98" s="1227"/>
      <c r="N98" s="1227">
        <f>+IFERROR('C.Recicladores'!P91*12,0)</f>
        <v>0</v>
      </c>
      <c r="O98" s="1227"/>
    </row>
    <row r="99" spans="2:16" x14ac:dyDescent="0.25">
      <c r="B99" s="1219" t="s">
        <v>402</v>
      </c>
      <c r="C99" s="1220"/>
      <c r="E99" s="1227">
        <f>+IFERROR('C.Prestador'!P178*12,0)</f>
        <v>0</v>
      </c>
      <c r="F99" s="1227"/>
      <c r="H99" s="1227">
        <f>+IFERROR('C.Prestador'!P178*12,0)</f>
        <v>0</v>
      </c>
      <c r="I99" s="1227"/>
      <c r="K99" s="1227">
        <f>+IFERROR('C.Recicladores'!P178*12,0)</f>
        <v>0</v>
      </c>
      <c r="L99" s="1227"/>
      <c r="N99" s="1227">
        <f>+IFERROR('C.Recicladores'!P178*12,0)</f>
        <v>0</v>
      </c>
      <c r="O99" s="1227"/>
    </row>
    <row r="100" spans="2:16" x14ac:dyDescent="0.25">
      <c r="B100" s="1219" t="s">
        <v>405</v>
      </c>
      <c r="C100" s="1220"/>
      <c r="E100" s="1227">
        <v>0</v>
      </c>
      <c r="F100" s="1227"/>
      <c r="H100" s="1227">
        <v>0</v>
      </c>
      <c r="I100" s="1227"/>
      <c r="K100" s="1227">
        <f>+IFERROR('C.Prestador'!F197*12,0)</f>
        <v>0</v>
      </c>
      <c r="L100" s="1227"/>
      <c r="N100" s="1227">
        <v>0</v>
      </c>
      <c r="O100" s="1227"/>
    </row>
    <row r="101" spans="2:16" x14ac:dyDescent="0.25">
      <c r="B101" s="1224" t="s">
        <v>494</v>
      </c>
      <c r="C101" s="1225"/>
      <c r="E101" s="1228">
        <f>+E91-E97</f>
        <v>0</v>
      </c>
      <c r="F101" s="1228"/>
      <c r="H101" s="1228">
        <f>+H91-H97</f>
        <v>0</v>
      </c>
      <c r="I101" s="1228"/>
      <c r="K101" s="1228">
        <f>+K91-K97</f>
        <v>0</v>
      </c>
      <c r="L101" s="1228"/>
      <c r="N101" s="1228">
        <f>+N91-N97</f>
        <v>0</v>
      </c>
      <c r="O101" s="1228"/>
    </row>
    <row r="102" spans="2:16" x14ac:dyDescent="0.25">
      <c r="B102" s="1224" t="s">
        <v>425</v>
      </c>
      <c r="C102" s="1225"/>
      <c r="E102" s="1226" t="str">
        <f>+IF(E101&gt;=0,"Cubre costos","No cubre costos")</f>
        <v>Cubre costos</v>
      </c>
      <c r="F102" s="1226"/>
      <c r="G102" s="130"/>
      <c r="H102" s="1226" t="str">
        <f>+IF(H101&gt;=0,"Cubre costos","No cubre costos")</f>
        <v>Cubre costos</v>
      </c>
      <c r="I102" s="1226"/>
      <c r="J102" s="130"/>
      <c r="K102" s="1226" t="str">
        <f>+IF(K101&gt;=0,"Cubre costos","No cubre costos")</f>
        <v>Cubre costos</v>
      </c>
      <c r="L102" s="1226"/>
      <c r="M102" s="130"/>
      <c r="N102" s="1226" t="str">
        <f>+IF(N101&gt;=0,"Cubre costos","No cubre costos")</f>
        <v>Cubre costos</v>
      </c>
      <c r="O102" s="1226"/>
    </row>
    <row r="104" spans="2:16" ht="15.75" x14ac:dyDescent="0.25">
      <c r="B104" s="1221" t="s">
        <v>492</v>
      </c>
      <c r="C104" s="1222"/>
      <c r="D104" s="1222"/>
      <c r="E104" s="1222"/>
      <c r="F104" s="1222"/>
      <c r="G104" s="1222"/>
      <c r="H104" s="1222"/>
      <c r="I104" s="1222"/>
      <c r="J104" s="1222"/>
      <c r="K104" s="1222"/>
      <c r="L104" s="1222"/>
      <c r="M104" s="1222"/>
      <c r="N104" s="1222"/>
      <c r="O104" s="1222"/>
      <c r="P104" s="1223"/>
    </row>
    <row r="106" spans="2:16" x14ac:dyDescent="0.25">
      <c r="B106" s="1224" t="s">
        <v>479</v>
      </c>
      <c r="C106" s="1225"/>
      <c r="D106" s="181"/>
      <c r="E106" s="1226">
        <f>+SUM(E107:F108)</f>
        <v>0</v>
      </c>
      <c r="F106" s="1226"/>
      <c r="G106" s="130"/>
      <c r="H106" s="1226">
        <f>+SUM(H107:I108)</f>
        <v>0</v>
      </c>
      <c r="I106" s="1226"/>
      <c r="J106" s="130"/>
      <c r="K106" s="1226">
        <f>+SUM(K107:L108)</f>
        <v>0</v>
      </c>
      <c r="L106" s="1226"/>
      <c r="N106" s="1226">
        <f>+SUM(N107:O108)</f>
        <v>0</v>
      </c>
      <c r="O106" s="1226"/>
    </row>
    <row r="107" spans="2:16" x14ac:dyDescent="0.25">
      <c r="B107" s="1219" t="s">
        <v>81</v>
      </c>
      <c r="C107" s="1220"/>
      <c r="E107" s="1238">
        <f>+IFERROR('C.Prestador'!N91*12,0)</f>
        <v>0</v>
      </c>
      <c r="F107" s="1238"/>
      <c r="H107" s="1238">
        <f>+IFERROR('C.Recicladores'!N91*12,0)</f>
        <v>0</v>
      </c>
      <c r="I107" s="1238"/>
      <c r="K107" s="1238">
        <f>+IFERROR('C.Prestador'!N91*12,0)</f>
        <v>0</v>
      </c>
      <c r="L107" s="1238"/>
      <c r="N107" s="1238">
        <f>+IFERROR('C.Recicladores'!N91*12,0)</f>
        <v>0</v>
      </c>
      <c r="O107" s="1238"/>
    </row>
    <row r="108" spans="2:16" x14ac:dyDescent="0.25">
      <c r="B108" s="1219" t="s">
        <v>402</v>
      </c>
      <c r="C108" s="1220"/>
      <c r="E108" s="1238">
        <f>+IFERROR('C.Prestador'!N178*12,0)</f>
        <v>0</v>
      </c>
      <c r="F108" s="1238"/>
      <c r="H108" s="1238">
        <f>+IFERROR('C.Prestador'!N178*12,0)</f>
        <v>0</v>
      </c>
      <c r="I108" s="1238"/>
      <c r="K108" s="1238">
        <f>+IFERROR('C.Recicladores'!N178*12,0)</f>
        <v>0</v>
      </c>
      <c r="L108" s="1238"/>
      <c r="N108" s="1238">
        <f>+IFERROR('C.Recicladores'!N178*12,0)</f>
        <v>0</v>
      </c>
      <c r="O108" s="1238"/>
    </row>
  </sheetData>
  <mergeCells count="221">
    <mergeCell ref="K102:L102"/>
    <mergeCell ref="N106:O106"/>
    <mergeCell ref="N107:O107"/>
    <mergeCell ref="N108:O108"/>
    <mergeCell ref="E106:F106"/>
    <mergeCell ref="E107:F107"/>
    <mergeCell ref="E108:F108"/>
    <mergeCell ref="H106:I106"/>
    <mergeCell ref="H107:I107"/>
    <mergeCell ref="H108:I108"/>
    <mergeCell ref="K106:L106"/>
    <mergeCell ref="K107:L107"/>
    <mergeCell ref="K108:L108"/>
    <mergeCell ref="K80:L80"/>
    <mergeCell ref="K81:L81"/>
    <mergeCell ref="K82:L82"/>
    <mergeCell ref="K83:L83"/>
    <mergeCell ref="K84:L84"/>
    <mergeCell ref="K85:L85"/>
    <mergeCell ref="K86:L86"/>
    <mergeCell ref="K91:L91"/>
    <mergeCell ref="K92:L92"/>
    <mergeCell ref="N95:O95"/>
    <mergeCell ref="N96:O96"/>
    <mergeCell ref="N97:O97"/>
    <mergeCell ref="E102:F102"/>
    <mergeCell ref="H100:I100"/>
    <mergeCell ref="H101:I101"/>
    <mergeCell ref="H102:I102"/>
    <mergeCell ref="N91:O91"/>
    <mergeCell ref="N92:O92"/>
    <mergeCell ref="N93:O93"/>
    <mergeCell ref="N94:O94"/>
    <mergeCell ref="K93:L93"/>
    <mergeCell ref="K94:L94"/>
    <mergeCell ref="N98:O98"/>
    <mergeCell ref="E98:F98"/>
    <mergeCell ref="E99:F99"/>
    <mergeCell ref="E100:F100"/>
    <mergeCell ref="E101:F101"/>
    <mergeCell ref="N99:O99"/>
    <mergeCell ref="N100:O100"/>
    <mergeCell ref="N101:O101"/>
    <mergeCell ref="N102:O102"/>
    <mergeCell ref="K100:L100"/>
    <mergeCell ref="K101:L101"/>
    <mergeCell ref="H92:I92"/>
    <mergeCell ref="H93:I93"/>
    <mergeCell ref="H94:I94"/>
    <mergeCell ref="H95:I95"/>
    <mergeCell ref="H96:I96"/>
    <mergeCell ref="H97:I97"/>
    <mergeCell ref="H98:I98"/>
    <mergeCell ref="H99:I99"/>
    <mergeCell ref="K95:L95"/>
    <mergeCell ref="K96:L96"/>
    <mergeCell ref="K97:L97"/>
    <mergeCell ref="K98:L98"/>
    <mergeCell ref="K99:L99"/>
    <mergeCell ref="E92:F92"/>
    <mergeCell ref="E93:F93"/>
    <mergeCell ref="E94:F94"/>
    <mergeCell ref="N78:O78"/>
    <mergeCell ref="N79:O79"/>
    <mergeCell ref="N80:O80"/>
    <mergeCell ref="N81:O81"/>
    <mergeCell ref="N82:O82"/>
    <mergeCell ref="N83:O83"/>
    <mergeCell ref="N84:O84"/>
    <mergeCell ref="N85:O85"/>
    <mergeCell ref="N86:O86"/>
    <mergeCell ref="E78:F78"/>
    <mergeCell ref="E79:F79"/>
    <mergeCell ref="E80:F80"/>
    <mergeCell ref="E81:F81"/>
    <mergeCell ref="E82:F82"/>
    <mergeCell ref="E83:F83"/>
    <mergeCell ref="E84:F84"/>
    <mergeCell ref="E85:F85"/>
    <mergeCell ref="E86:F86"/>
    <mergeCell ref="H78:I78"/>
    <mergeCell ref="H79:I79"/>
    <mergeCell ref="H91:I91"/>
    <mergeCell ref="N63:O63"/>
    <mergeCell ref="N64:O64"/>
    <mergeCell ref="N65:O65"/>
    <mergeCell ref="N66:O66"/>
    <mergeCell ref="N67:O67"/>
    <mergeCell ref="N68:O68"/>
    <mergeCell ref="N57:O57"/>
    <mergeCell ref="N58:O58"/>
    <mergeCell ref="N59:O59"/>
    <mergeCell ref="N60:O60"/>
    <mergeCell ref="N61:O61"/>
    <mergeCell ref="E63:F63"/>
    <mergeCell ref="E64:F64"/>
    <mergeCell ref="E65:F65"/>
    <mergeCell ref="E66:F66"/>
    <mergeCell ref="E67:F67"/>
    <mergeCell ref="E51:F51"/>
    <mergeCell ref="K51:L51"/>
    <mergeCell ref="B7:O7"/>
    <mergeCell ref="E1:F1"/>
    <mergeCell ref="K1:L1"/>
    <mergeCell ref="E57:F57"/>
    <mergeCell ref="K57:L57"/>
    <mergeCell ref="K4:L4"/>
    <mergeCell ref="K5:L5"/>
    <mergeCell ref="E3:F3"/>
    <mergeCell ref="K3:L3"/>
    <mergeCell ref="E43:F43"/>
    <mergeCell ref="E44:F44"/>
    <mergeCell ref="E45:F45"/>
    <mergeCell ref="E47:F47"/>
    <mergeCell ref="E48:F48"/>
    <mergeCell ref="E46:F46"/>
    <mergeCell ref="K43:L43"/>
    <mergeCell ref="K44:L44"/>
    <mergeCell ref="K58:L58"/>
    <mergeCell ref="K59:L59"/>
    <mergeCell ref="K60:L60"/>
    <mergeCell ref="K61:L61"/>
    <mergeCell ref="K63:L63"/>
    <mergeCell ref="K64:L64"/>
    <mergeCell ref="K65:L65"/>
    <mergeCell ref="K66:L66"/>
    <mergeCell ref="K67:L67"/>
    <mergeCell ref="K68:L68"/>
    <mergeCell ref="K78:L78"/>
    <mergeCell ref="K79:L79"/>
    <mergeCell ref="H51:I51"/>
    <mergeCell ref="H86:I86"/>
    <mergeCell ref="H87:I87"/>
    <mergeCell ref="H80:I80"/>
    <mergeCell ref="H81:I81"/>
    <mergeCell ref="H82:I82"/>
    <mergeCell ref="H83:I83"/>
    <mergeCell ref="H84:I84"/>
    <mergeCell ref="H85:I85"/>
    <mergeCell ref="H57:I57"/>
    <mergeCell ref="H67:I67"/>
    <mergeCell ref="H68:I68"/>
    <mergeCell ref="B54:P54"/>
    <mergeCell ref="B71:P71"/>
    <mergeCell ref="B75:P75"/>
    <mergeCell ref="B51:C51"/>
    <mergeCell ref="N51:O51"/>
    <mergeCell ref="B79:C79"/>
    <mergeCell ref="B80:C80"/>
    <mergeCell ref="B81:C81"/>
    <mergeCell ref="B82:C82"/>
    <mergeCell ref="B83:C83"/>
    <mergeCell ref="B84:C84"/>
    <mergeCell ref="E87:F87"/>
    <mergeCell ref="H1:I1"/>
    <mergeCell ref="H4:I4"/>
    <mergeCell ref="H5:I5"/>
    <mergeCell ref="H46:I46"/>
    <mergeCell ref="E4:F4"/>
    <mergeCell ref="E5:F5"/>
    <mergeCell ref="E49:F49"/>
    <mergeCell ref="B85:C85"/>
    <mergeCell ref="E68:F68"/>
    <mergeCell ref="H58:I58"/>
    <mergeCell ref="H59:I59"/>
    <mergeCell ref="H60:I60"/>
    <mergeCell ref="H61:I61"/>
    <mergeCell ref="H63:I63"/>
    <mergeCell ref="H64:I64"/>
    <mergeCell ref="H65:I65"/>
    <mergeCell ref="H66:I66"/>
    <mergeCell ref="E58:F58"/>
    <mergeCell ref="E59:F59"/>
    <mergeCell ref="E60:F60"/>
    <mergeCell ref="E61:F61"/>
    <mergeCell ref="N1:O1"/>
    <mergeCell ref="N3:O3"/>
    <mergeCell ref="N43:O43"/>
    <mergeCell ref="N44:O44"/>
    <mergeCell ref="N45:O45"/>
    <mergeCell ref="N47:O47"/>
    <mergeCell ref="N48:O48"/>
    <mergeCell ref="N49:O49"/>
    <mergeCell ref="H3:I3"/>
    <mergeCell ref="N46:O46"/>
    <mergeCell ref="H43:I43"/>
    <mergeCell ref="H44:I44"/>
    <mergeCell ref="H45:I45"/>
    <mergeCell ref="H47:I47"/>
    <mergeCell ref="H48:I48"/>
    <mergeCell ref="H49:I49"/>
    <mergeCell ref="K49:L49"/>
    <mergeCell ref="K45:L45"/>
    <mergeCell ref="K46:L46"/>
    <mergeCell ref="K47:L47"/>
    <mergeCell ref="K48:L48"/>
    <mergeCell ref="B29:P29"/>
    <mergeCell ref="B99:C99"/>
    <mergeCell ref="B100:C100"/>
    <mergeCell ref="B89:P89"/>
    <mergeCell ref="B101:C101"/>
    <mergeCell ref="B102:C102"/>
    <mergeCell ref="B106:C106"/>
    <mergeCell ref="B107:C107"/>
    <mergeCell ref="B108:C108"/>
    <mergeCell ref="B86:C86"/>
    <mergeCell ref="B87:C87"/>
    <mergeCell ref="B92:C92"/>
    <mergeCell ref="B93:C93"/>
    <mergeCell ref="B94:C94"/>
    <mergeCell ref="B95:C95"/>
    <mergeCell ref="B96:C96"/>
    <mergeCell ref="B97:C97"/>
    <mergeCell ref="B98:C98"/>
    <mergeCell ref="B104:P104"/>
    <mergeCell ref="K87:L87"/>
    <mergeCell ref="N87:O87"/>
    <mergeCell ref="E95:F95"/>
    <mergeCell ref="E96:F96"/>
    <mergeCell ref="E97:F97"/>
    <mergeCell ref="E91:F91"/>
  </mergeCells>
  <conditionalFormatting sqref="E87:F87">
    <cfRule type="expression" dxfId="43" priority="35">
      <formula>$E$86&lt;0</formula>
    </cfRule>
    <cfRule type="expression" dxfId="42" priority="36">
      <formula>$E$86&gt;=0</formula>
    </cfRule>
  </conditionalFormatting>
  <conditionalFormatting sqref="H87:I87">
    <cfRule type="expression" dxfId="41" priority="33">
      <formula>$H$86&lt;0</formula>
    </cfRule>
    <cfRule type="expression" dxfId="40" priority="34">
      <formula>$H$86&gt;=0</formula>
    </cfRule>
  </conditionalFormatting>
  <conditionalFormatting sqref="K87:L87">
    <cfRule type="expression" dxfId="39" priority="31">
      <formula>$K$86&lt;0</formula>
    </cfRule>
    <cfRule type="expression" dxfId="38" priority="32">
      <formula>$K$86&gt;=0</formula>
    </cfRule>
  </conditionalFormatting>
  <conditionalFormatting sqref="N87:O87">
    <cfRule type="expression" dxfId="37" priority="29">
      <formula>$N$86&lt;0</formula>
    </cfRule>
    <cfRule type="expression" dxfId="36" priority="30">
      <formula>$N$86&gt;=0</formula>
    </cfRule>
  </conditionalFormatting>
  <conditionalFormatting sqref="E102:F102">
    <cfRule type="expression" dxfId="35" priority="27">
      <formula>$E101&lt;0</formula>
    </cfRule>
    <cfRule type="expression" dxfId="34" priority="28">
      <formula>$E$101&gt;=0</formula>
    </cfRule>
  </conditionalFormatting>
  <conditionalFormatting sqref="H102:I102">
    <cfRule type="expression" dxfId="33" priority="25">
      <formula>$H101&lt;0</formula>
    </cfRule>
    <cfRule type="expression" dxfId="32" priority="26">
      <formula>$H$101&gt;=0</formula>
    </cfRule>
  </conditionalFormatting>
  <conditionalFormatting sqref="K102:L102">
    <cfRule type="expression" dxfId="31" priority="23">
      <formula>$K101&lt;0</formula>
    </cfRule>
    <cfRule type="expression" dxfId="30" priority="24">
      <formula>$K$101&gt;=0</formula>
    </cfRule>
  </conditionalFormatting>
  <conditionalFormatting sqref="N102:O102">
    <cfRule type="expression" dxfId="29" priority="21">
      <formula>$N101&lt;0</formula>
    </cfRule>
    <cfRule type="expression" dxfId="28" priority="22">
      <formula>$N$101&gt;=0</formula>
    </cfRule>
  </conditionalFormatting>
  <conditionalFormatting sqref="E68:F68">
    <cfRule type="expression" dxfId="27" priority="19">
      <formula>$E$67&lt;0</formula>
    </cfRule>
    <cfRule type="expression" dxfId="26" priority="20">
      <formula>$E$67&gt;=0</formula>
    </cfRule>
  </conditionalFormatting>
  <conditionalFormatting sqref="H68:I68">
    <cfRule type="expression" dxfId="25" priority="17">
      <formula>$H$67&lt;0</formula>
    </cfRule>
    <cfRule type="expression" dxfId="24" priority="18">
      <formula>$H$67&gt;=0</formula>
    </cfRule>
  </conditionalFormatting>
  <conditionalFormatting sqref="K68:L68">
    <cfRule type="expression" dxfId="23" priority="15">
      <formula>$K$67&lt;0</formula>
    </cfRule>
    <cfRule type="expression" dxfId="22" priority="16">
      <formula>$K$67&gt;=0</formula>
    </cfRule>
  </conditionalFormatting>
  <conditionalFormatting sqref="N68:O68">
    <cfRule type="expression" dxfId="21" priority="13">
      <formula>$N$67&lt;0</formula>
    </cfRule>
    <cfRule type="expression" dxfId="20" priority="14">
      <formula>$N$67&gt;=0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0" id="{5C80C95C-98B5-4537-B950-A4E6E233838D}">
            <xm:f>'Resultados Oc'!$B$97=1</xm:f>
            <x14:dxf>
              <font>
                <color theme="0"/>
              </font>
              <fill>
                <patternFill patternType="none">
                  <bgColor auto="1"/>
                </patternFill>
              </fill>
              <border>
                <left/>
                <right/>
                <top/>
                <bottom/>
                <vertical/>
                <horizontal/>
              </border>
            </x14:dxf>
          </x14:cfRule>
          <xm:sqref>B26:C26</xm:sqref>
        </x14:conditionalFormatting>
        <x14:conditionalFormatting xmlns:xm="http://schemas.microsoft.com/office/excel/2006/main">
          <x14:cfRule type="expression" priority="40" id="{04CEB833-E11B-484F-AD1D-5F7C188689CC}">
            <xm:f>'C.Prestador'!$C$11&lt;4</xm:f>
            <x14:dxf>
              <font>
                <color theme="0"/>
              </font>
              <fill>
                <patternFill>
                  <bgColor theme="0"/>
                </patternFill>
              </fill>
              <border>
                <left style="thin">
                  <color auto="1"/>
                </left>
                <right/>
                <top/>
                <bottom/>
                <vertical/>
                <horizontal/>
              </border>
            </x14:dxf>
          </x14:cfRule>
          <xm:sqref>F33:F39</xm:sqref>
        </x14:conditionalFormatting>
        <x14:conditionalFormatting xmlns:xm="http://schemas.microsoft.com/office/excel/2006/main">
          <x14:cfRule type="expression" priority="39" id="{1ECB2361-572D-4CC9-A047-F2E816DF25DB}">
            <xm:f>'C.Prestador'!$C$11&lt;4</xm:f>
            <x14:dxf>
              <font>
                <color theme="0"/>
              </font>
              <fill>
                <patternFill>
                  <bgColor theme="0"/>
                </patternFill>
              </fill>
              <border>
                <left style="thin">
                  <color auto="1"/>
                </left>
                <right/>
                <top/>
                <bottom/>
                <vertical/>
                <horizontal/>
              </border>
            </x14:dxf>
          </x14:cfRule>
          <xm:sqref>L33 L35:L39</xm:sqref>
        </x14:conditionalFormatting>
        <x14:conditionalFormatting xmlns:xm="http://schemas.microsoft.com/office/excel/2006/main">
          <x14:cfRule type="expression" priority="38" id="{D01A95F7-1A44-4126-83DE-C52FB3F4BB8A}">
            <xm:f>'C.Recicladores'!$C$11&lt;4</xm:f>
            <x14:dxf>
              <font>
                <color theme="0"/>
              </font>
              <fill>
                <patternFill>
                  <bgColor theme="0"/>
                </patternFill>
              </fill>
              <border>
                <left style="thin">
                  <color auto="1"/>
                </left>
                <right/>
                <top/>
                <bottom/>
                <vertical/>
                <horizontal/>
              </border>
            </x14:dxf>
          </x14:cfRule>
          <xm:sqref>I33:I39</xm:sqref>
        </x14:conditionalFormatting>
        <x14:conditionalFormatting xmlns:xm="http://schemas.microsoft.com/office/excel/2006/main">
          <x14:cfRule type="expression" priority="37" id="{02E3BD68-24BC-47E7-98A3-9E09F877BE54}">
            <xm:f>'C.Recicladores'!$C$11&lt;4</xm:f>
            <x14:dxf>
              <font>
                <color theme="0"/>
              </font>
              <fill>
                <patternFill>
                  <bgColor theme="0"/>
                </patternFill>
              </fill>
              <border>
                <left style="thin">
                  <color auto="1"/>
                </left>
                <right/>
                <top/>
                <bottom/>
                <vertical/>
                <horizontal/>
              </border>
            </x14:dxf>
          </x14:cfRule>
          <xm:sqref>O33:O39</xm:sqref>
        </x14:conditionalFormatting>
        <x14:conditionalFormatting xmlns:xm="http://schemas.microsoft.com/office/excel/2006/main">
          <x14:cfRule type="expression" priority="12" id="{5D19280F-6759-4FAD-9B78-FE57D5C14BCF}">
            <xm:f>SUM('Datos Prestador'!$G$52:$H$55)&gt;0</xm:f>
            <x14:dxf>
              <font>
                <color theme="0"/>
              </font>
              <border>
                <left style="thin">
                  <color auto="1"/>
                </left>
                <right style="thin">
                  <color auto="1"/>
                </right>
                <top style="thin">
                  <color auto="1"/>
                </top>
                <bottom style="thin">
                  <color auto="1"/>
                </bottom>
                <vertical/>
                <horizontal/>
              </border>
            </x14:dxf>
          </x14:cfRule>
          <xm:sqref>E34</xm:sqref>
        </x14:conditionalFormatting>
        <x14:conditionalFormatting xmlns:xm="http://schemas.microsoft.com/office/excel/2006/main">
          <x14:cfRule type="expression" priority="10" id="{69CBE3B7-B724-4921-A6AC-99FF0D595949}">
            <xm:f>SUM('Datos Prestador'!$G$52:$H$55)&gt;0</xm:f>
            <x14:dxf>
              <font>
                <color theme="0"/>
              </font>
              <border>
                <left style="thin">
                  <color auto="1"/>
                </left>
                <right style="thin">
                  <color auto="1"/>
                </right>
                <top style="thin">
                  <color auto="1"/>
                </top>
                <bottom style="thin">
                  <color auto="1"/>
                </bottom>
                <vertical/>
                <horizontal/>
              </border>
            </x14:dxf>
          </x14:cfRule>
          <xm:sqref>K34</xm:sqref>
        </x14:conditionalFormatting>
        <x14:conditionalFormatting xmlns:xm="http://schemas.microsoft.com/office/excel/2006/main">
          <x14:cfRule type="expression" priority="9" id="{FB7E744F-4C74-46F9-A3E9-95FDEA302350}">
            <xm:f>SUM('Datos Recicladores'!$G$53:$H$56)&gt;0</xm:f>
            <x14:dxf>
              <font>
                <color theme="0"/>
              </font>
            </x14:dxf>
          </x14:cfRule>
          <xm:sqref>H34</xm:sqref>
        </x14:conditionalFormatting>
        <x14:conditionalFormatting xmlns:xm="http://schemas.microsoft.com/office/excel/2006/main">
          <x14:cfRule type="expression" priority="8" id="{2F937786-D6BB-409E-A15E-685B971DACCA}">
            <xm:f>SUM('Datos Recicladores'!$G$53:$H$56)&gt;0</xm:f>
            <x14:dxf>
              <font>
                <color theme="0"/>
              </font>
            </x14:dxf>
          </x14:cfRule>
          <xm:sqref>N34</xm:sqref>
        </x14:conditionalFormatting>
        <x14:conditionalFormatting xmlns:xm="http://schemas.microsoft.com/office/excel/2006/main">
          <x14:cfRule type="expression" priority="7" id="{512D3B3F-4AF0-4F20-ACFC-D0B2971C6ACE}">
            <xm:f>'Datos Prestador'!$G$54&gt;0</xm:f>
            <x14:dxf>
              <font>
                <color theme="0"/>
              </font>
            </x14:dxf>
          </x14:cfRule>
          <xm:sqref>F34</xm:sqref>
        </x14:conditionalFormatting>
        <x14:conditionalFormatting xmlns:xm="http://schemas.microsoft.com/office/excel/2006/main">
          <x14:cfRule type="expression" priority="4" id="{F9796894-2C0A-4971-9606-3964C1F95CB6}">
            <xm:f>'Datos Recicladores'!$G$55&gt;0</xm:f>
            <x14:dxf>
              <font>
                <color theme="0"/>
              </font>
            </x14:dxf>
          </x14:cfRule>
          <xm:sqref>I34</xm:sqref>
        </x14:conditionalFormatting>
        <x14:conditionalFormatting xmlns:xm="http://schemas.microsoft.com/office/excel/2006/main">
          <x14:cfRule type="expression" priority="1" id="{8B479013-EEF7-41C6-A093-AF15203C66A4}">
            <xm:f>'C.Prestador'!$C$11&lt;4</xm:f>
            <x14:dxf>
              <font>
                <color theme="0"/>
              </font>
              <fill>
                <patternFill>
                  <bgColor theme="0"/>
                </patternFill>
              </fill>
              <border>
                <left style="thin">
                  <color auto="1"/>
                </left>
                <right/>
                <top/>
                <bottom/>
                <vertical/>
                <horizontal/>
              </border>
            </x14:dxf>
          </x14:cfRule>
          <xm:sqref>L34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tabColor theme="9" tint="0.39997558519241921"/>
  </sheetPr>
  <dimension ref="A1:K19"/>
  <sheetViews>
    <sheetView showGridLines="0" topLeftCell="A10" workbookViewId="0">
      <selection activeCell="L15" sqref="L15"/>
    </sheetView>
  </sheetViews>
  <sheetFormatPr baseColWidth="10" defaultColWidth="11.42578125" defaultRowHeight="15" x14ac:dyDescent="0.25"/>
  <cols>
    <col min="1" max="1" width="2" style="167" customWidth="1"/>
    <col min="2" max="2" width="32.42578125" style="174" customWidth="1"/>
    <col min="3" max="3" width="25.42578125" style="174" customWidth="1"/>
    <col min="4" max="4" width="2" style="167" customWidth="1"/>
    <col min="5" max="5" width="29.28515625" style="167" customWidth="1"/>
    <col min="6" max="6" width="2" style="167" customWidth="1"/>
    <col min="7" max="7" width="29.5703125" style="167" customWidth="1"/>
    <col min="8" max="8" width="2" style="167" customWidth="1"/>
    <col min="9" max="9" width="29.28515625" style="167" customWidth="1"/>
    <col min="10" max="10" width="2" style="167" customWidth="1"/>
    <col min="11" max="11" width="29.28515625" style="167" customWidth="1"/>
    <col min="12" max="12" width="11.42578125" style="167" customWidth="1"/>
    <col min="13" max="16384" width="11.42578125" style="167"/>
  </cols>
  <sheetData>
    <row r="1" spans="1:11" ht="46.5" customHeight="1" x14ac:dyDescent="0.35">
      <c r="A1" s="114"/>
      <c r="B1" s="1251"/>
      <c r="C1" s="1251"/>
      <c r="D1" s="170"/>
      <c r="E1" s="113"/>
      <c r="F1" s="113"/>
      <c r="G1" s="113"/>
      <c r="H1" s="128"/>
      <c r="I1" s="113"/>
      <c r="J1" s="113"/>
      <c r="K1" s="113"/>
    </row>
    <row r="2" spans="1:11" x14ac:dyDescent="0.25">
      <c r="A2" s="114"/>
      <c r="B2" s="109"/>
      <c r="C2" s="109"/>
      <c r="D2" s="109"/>
      <c r="E2" s="114"/>
      <c r="F2" s="114"/>
      <c r="G2" s="112"/>
      <c r="H2" s="112"/>
      <c r="I2" s="114"/>
      <c r="J2" s="114"/>
      <c r="K2" s="114"/>
    </row>
    <row r="3" spans="1:11" x14ac:dyDescent="0.25">
      <c r="A3" s="114"/>
      <c r="B3" s="110"/>
      <c r="C3" s="110"/>
      <c r="D3" s="110"/>
      <c r="E3" s="111"/>
      <c r="F3" s="111"/>
      <c r="G3" s="165"/>
      <c r="H3" s="129"/>
      <c r="I3" s="111"/>
      <c r="J3" s="111"/>
      <c r="K3" s="165"/>
    </row>
    <row r="4" spans="1:11" x14ac:dyDescent="0.25">
      <c r="A4" s="114"/>
      <c r="B4" s="171"/>
      <c r="C4" s="171"/>
      <c r="D4" s="109"/>
      <c r="E4" s="114"/>
      <c r="F4" s="114"/>
      <c r="G4" s="166"/>
      <c r="H4" s="112"/>
      <c r="I4" s="114"/>
      <c r="J4" s="114"/>
      <c r="K4" s="114"/>
    </row>
    <row r="5" spans="1:11" x14ac:dyDescent="0.25">
      <c r="A5" s="114"/>
      <c r="B5" s="171"/>
      <c r="C5" s="171"/>
      <c r="D5" s="109"/>
      <c r="E5" s="114"/>
      <c r="F5" s="114"/>
      <c r="G5" s="166"/>
      <c r="H5" s="112"/>
      <c r="I5" s="114"/>
      <c r="J5" s="114"/>
      <c r="K5" s="114"/>
    </row>
    <row r="10" spans="1:11" x14ac:dyDescent="0.25">
      <c r="B10" s="1250"/>
      <c r="C10" s="1250"/>
      <c r="E10" s="168"/>
      <c r="G10" s="168"/>
      <c r="I10" s="168"/>
      <c r="K10" s="169"/>
    </row>
    <row r="11" spans="1:11" x14ac:dyDescent="0.25">
      <c r="B11" s="1250"/>
      <c r="C11" s="1250"/>
      <c r="E11" s="168"/>
      <c r="G11" s="168"/>
      <c r="I11" s="168"/>
      <c r="K11" s="169"/>
    </row>
    <row r="12" spans="1:11" x14ac:dyDescent="0.25">
      <c r="B12" s="1250"/>
      <c r="C12" s="1250"/>
      <c r="E12" s="168"/>
      <c r="G12" s="168"/>
      <c r="I12" s="168"/>
      <c r="K12" s="169"/>
    </row>
    <row r="13" spans="1:11" x14ac:dyDescent="0.25">
      <c r="B13" s="1250"/>
      <c r="C13" s="1250"/>
      <c r="E13" s="168"/>
      <c r="G13" s="168"/>
      <c r="I13" s="168"/>
      <c r="K13" s="169"/>
    </row>
    <row r="14" spans="1:11" s="172" customFormat="1" ht="37.5" customHeight="1" x14ac:dyDescent="0.25">
      <c r="B14" s="1252"/>
      <c r="C14" s="1252"/>
      <c r="E14" s="173"/>
      <c r="G14" s="173"/>
      <c r="I14" s="173"/>
      <c r="K14" s="173"/>
    </row>
    <row r="15" spans="1:11" s="172" customFormat="1" ht="35.25" customHeight="1" x14ac:dyDescent="0.25">
      <c r="B15" s="1252"/>
      <c r="C15" s="1252"/>
      <c r="E15" s="173"/>
      <c r="G15" s="173"/>
      <c r="I15" s="173"/>
      <c r="K15" s="173"/>
    </row>
    <row r="16" spans="1:11" x14ac:dyDescent="0.25">
      <c r="B16" s="1250"/>
      <c r="C16" s="1250"/>
      <c r="E16" s="168"/>
      <c r="G16" s="168"/>
      <c r="I16" s="168"/>
      <c r="K16" s="169"/>
    </row>
    <row r="17" spans="2:11" x14ac:dyDescent="0.25">
      <c r="B17" s="1250"/>
      <c r="C17" s="1250"/>
      <c r="E17" s="168"/>
      <c r="G17" s="168"/>
      <c r="I17" s="168"/>
      <c r="K17" s="169"/>
    </row>
    <row r="18" spans="2:11" x14ac:dyDescent="0.25">
      <c r="B18" s="1250"/>
      <c r="C18" s="1250"/>
      <c r="E18" s="168"/>
      <c r="G18" s="168"/>
      <c r="I18" s="168"/>
      <c r="K18" s="169"/>
    </row>
    <row r="19" spans="2:11" ht="30" customHeight="1" x14ac:dyDescent="0.25">
      <c r="B19" s="1250"/>
      <c r="C19" s="1250"/>
      <c r="E19" s="168"/>
      <c r="G19" s="168"/>
      <c r="I19" s="168"/>
      <c r="K19" s="168"/>
    </row>
  </sheetData>
  <mergeCells count="11">
    <mergeCell ref="B19:C19"/>
    <mergeCell ref="B1:C1"/>
    <mergeCell ref="B10:C10"/>
    <mergeCell ref="B11:C11"/>
    <mergeCell ref="B12:C12"/>
    <mergeCell ref="B13:C13"/>
    <mergeCell ref="B14:C14"/>
    <mergeCell ref="B15:C15"/>
    <mergeCell ref="B16:C16"/>
    <mergeCell ref="B17:C17"/>
    <mergeCell ref="B18:C18"/>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theme="9" tint="0.39997558519241921"/>
  </sheetPr>
  <dimension ref="B1:P26"/>
  <sheetViews>
    <sheetView showGridLines="0" zoomScaleNormal="100" workbookViewId="0">
      <selection activeCell="G29" sqref="G29"/>
    </sheetView>
  </sheetViews>
  <sheetFormatPr baseColWidth="10" defaultColWidth="11.5703125" defaultRowHeight="15" x14ac:dyDescent="0.25"/>
  <cols>
    <col min="1" max="1" width="5" customWidth="1"/>
    <col min="2" max="2" width="12.5703125" customWidth="1"/>
    <col min="3" max="3" width="12.42578125" customWidth="1"/>
    <col min="6" max="6" width="12.42578125" customWidth="1"/>
    <col min="7" max="8" width="15.28515625" customWidth="1"/>
    <col min="9" max="9" width="13.42578125" customWidth="1"/>
    <col min="10" max="10" width="12" customWidth="1"/>
    <col min="14" max="14" width="13.28515625" customWidth="1"/>
    <col min="15" max="15" width="15.42578125" customWidth="1"/>
    <col min="16" max="16" width="15" customWidth="1"/>
  </cols>
  <sheetData>
    <row r="1" spans="2:16" ht="8.25" customHeight="1" x14ac:dyDescent="0.25"/>
    <row r="2" spans="2:16" x14ac:dyDescent="0.25">
      <c r="B2" s="203"/>
      <c r="J2" s="204"/>
    </row>
    <row r="3" spans="2:16" x14ac:dyDescent="0.25">
      <c r="B3" s="204"/>
      <c r="F3" s="1253" t="s">
        <v>669</v>
      </c>
      <c r="G3" s="1253"/>
      <c r="H3" s="1253"/>
      <c r="N3" s="1253" t="s">
        <v>669</v>
      </c>
      <c r="O3" s="1253"/>
      <c r="P3" s="1253"/>
    </row>
    <row r="4" spans="2:16" x14ac:dyDescent="0.25">
      <c r="F4" s="223" t="s">
        <v>307</v>
      </c>
      <c r="G4" s="223" t="s">
        <v>668</v>
      </c>
      <c r="H4" s="223" t="s">
        <v>281</v>
      </c>
      <c r="N4" s="223" t="s">
        <v>307</v>
      </c>
      <c r="O4" s="223" t="s">
        <v>668</v>
      </c>
      <c r="P4" s="223" t="s">
        <v>281</v>
      </c>
    </row>
    <row r="5" spans="2:16" x14ac:dyDescent="0.25">
      <c r="F5" s="712" t="s">
        <v>81</v>
      </c>
      <c r="G5" s="712"/>
      <c r="H5" s="712"/>
      <c r="N5" s="712" t="s">
        <v>81</v>
      </c>
      <c r="O5" s="712"/>
      <c r="P5" s="712"/>
    </row>
    <row r="6" spans="2:16" x14ac:dyDescent="0.25">
      <c r="F6" s="4" t="s">
        <v>670</v>
      </c>
      <c r="G6" s="4">
        <f>+IFERROR('Resultados Oc'!B12+'Resultados Oc'!C12,0)</f>
        <v>0</v>
      </c>
      <c r="H6" s="4">
        <f>+IFERROR('Resultados OcRef'!B12+'Resultados OcRef'!C12,0)</f>
        <v>0</v>
      </c>
      <c r="N6" s="4" t="s">
        <v>670</v>
      </c>
      <c r="O6" s="4">
        <f>+IFERROR('Resultados Oc'!E12+'Resultados Oc'!F12,0)</f>
        <v>0</v>
      </c>
      <c r="P6" s="4">
        <f>+IFERROR('Resultados OcRef'!E12+'Resultados OcRef'!F12,0)</f>
        <v>0</v>
      </c>
    </row>
    <row r="7" spans="2:16" x14ac:dyDescent="0.25">
      <c r="F7" s="4" t="s">
        <v>671</v>
      </c>
      <c r="G7" s="4">
        <f>+IFERROR('Resultados Oc'!B15+'Resultados Oc'!C15,0)</f>
        <v>0</v>
      </c>
      <c r="H7" s="4">
        <f>+IFERROR('Resultados OcRef'!B15+'Resultados OcRef'!C15,0)</f>
        <v>0</v>
      </c>
      <c r="N7" s="4" t="s">
        <v>671</v>
      </c>
      <c r="O7" s="4">
        <f>+IFERROR('Resultados Oc'!E15+'Resultados Oc'!F15,0)</f>
        <v>0</v>
      </c>
      <c r="P7" s="4">
        <f>+IFERROR('Resultados OcRef'!E15+'Resultados OcRef'!F15,0)</f>
        <v>0</v>
      </c>
    </row>
    <row r="8" spans="2:16" x14ac:dyDescent="0.25">
      <c r="F8" s="712" t="s">
        <v>121</v>
      </c>
      <c r="G8" s="712"/>
      <c r="H8" s="712"/>
      <c r="N8" s="712" t="s">
        <v>121</v>
      </c>
      <c r="O8" s="712"/>
      <c r="P8" s="712"/>
    </row>
    <row r="9" spans="2:16" x14ac:dyDescent="0.25">
      <c r="F9" s="4" t="s">
        <v>721</v>
      </c>
      <c r="G9" s="224"/>
      <c r="H9" s="224" t="str">
        <f>+IF('C.Prestador'!C120="Cantidad pequeño","Manual",IF('C.Prestador'!C120="Cantidad mediano","Semimecanizado","Mecanizado"))</f>
        <v>Manual</v>
      </c>
      <c r="N9" s="4" t="s">
        <v>721</v>
      </c>
      <c r="O9" s="224"/>
      <c r="P9" s="224" t="str">
        <f>+IF('C.Prestador'!C120="Cantidad pequeño","Manual",IF('C.Prestador'!C120="Cantidad mediano","Semimecanizado","Mecanizado"))</f>
        <v>Manual</v>
      </c>
    </row>
    <row r="10" spans="2:16" x14ac:dyDescent="0.25">
      <c r="F10" s="4" t="s">
        <v>672</v>
      </c>
      <c r="G10" s="224">
        <f>+'Resultados Oc'!B30</f>
        <v>0</v>
      </c>
      <c r="H10" s="224">
        <f>+'Resultados OcRef'!B29</f>
        <v>0</v>
      </c>
      <c r="N10" s="4" t="s">
        <v>672</v>
      </c>
      <c r="O10" s="224">
        <f>+'Resultados Oc'!E30</f>
        <v>0</v>
      </c>
      <c r="P10" s="224">
        <f>+'Resultados OcRef'!E29</f>
        <v>0</v>
      </c>
    </row>
    <row r="11" spans="2:16" x14ac:dyDescent="0.25">
      <c r="F11" s="4" t="s">
        <v>671</v>
      </c>
      <c r="G11" s="69">
        <f>+IFERROR('Resultados Oc'!B25,0)</f>
        <v>0</v>
      </c>
      <c r="H11" s="69">
        <f>+IFERROR('Resultados OcRef'!B25,0)</f>
        <v>0</v>
      </c>
      <c r="N11" s="4" t="s">
        <v>671</v>
      </c>
      <c r="O11" s="69">
        <f>+IFERROR('Resultados Oc'!E25,0)</f>
        <v>0</v>
      </c>
      <c r="P11" s="69">
        <f>+IFERROR('Resultados OcRef'!E25,0)</f>
        <v>0</v>
      </c>
    </row>
    <row r="15" spans="2:16" ht="6.75" customHeight="1" x14ac:dyDescent="0.25"/>
    <row r="16" spans="2:16" x14ac:dyDescent="0.25">
      <c r="C16" s="204"/>
    </row>
    <row r="18" spans="6:16" x14ac:dyDescent="0.25">
      <c r="F18" s="1253" t="s">
        <v>669</v>
      </c>
      <c r="G18" s="1253"/>
      <c r="H18" s="1253"/>
      <c r="N18" s="1253" t="s">
        <v>669</v>
      </c>
      <c r="O18" s="1253"/>
      <c r="P18" s="1253"/>
    </row>
    <row r="19" spans="6:16" x14ac:dyDescent="0.25">
      <c r="F19" s="223" t="s">
        <v>307</v>
      </c>
      <c r="G19" s="223" t="s">
        <v>668</v>
      </c>
      <c r="H19" s="223" t="s">
        <v>281</v>
      </c>
      <c r="N19" s="223" t="s">
        <v>307</v>
      </c>
      <c r="O19" s="223" t="s">
        <v>668</v>
      </c>
      <c r="P19" s="223" t="s">
        <v>281</v>
      </c>
    </row>
    <row r="20" spans="6:16" x14ac:dyDescent="0.25">
      <c r="F20" s="712" t="s">
        <v>81</v>
      </c>
      <c r="G20" s="712"/>
      <c r="H20" s="712"/>
      <c r="N20" s="712" t="s">
        <v>81</v>
      </c>
      <c r="O20" s="712"/>
      <c r="P20" s="712"/>
    </row>
    <row r="21" spans="6:16" x14ac:dyDescent="0.25">
      <c r="F21" s="4" t="s">
        <v>670</v>
      </c>
      <c r="G21" s="4">
        <f>+IFERROR('Resultados Oc'!H12+'Resultados Oc'!I12,0)</f>
        <v>0</v>
      </c>
      <c r="H21" s="4">
        <f>+IFERROR('Resultados OcRef'!B12+'Resultados OcRef'!C12,0)</f>
        <v>0</v>
      </c>
      <c r="N21" s="4" t="s">
        <v>670</v>
      </c>
      <c r="O21" s="4">
        <f>+IFERROR('Resultados Oc'!K12+'Resultados Oc'!L12,0)</f>
        <v>0</v>
      </c>
      <c r="P21" s="4">
        <f>+IFERROR('Resultados OcRef'!K12+'Resultados OcRef'!L12,0)</f>
        <v>0</v>
      </c>
    </row>
    <row r="22" spans="6:16" x14ac:dyDescent="0.25">
      <c r="F22" s="4" t="s">
        <v>671</v>
      </c>
      <c r="G22" s="4">
        <f>+IFERROR('Resultados Oc'!H15+'Resultados Oc'!I15,0)</f>
        <v>0</v>
      </c>
      <c r="H22" s="4">
        <f>+IFERROR('Resultados OcRef'!B15+'Resultados OcRef'!C15,0)</f>
        <v>0</v>
      </c>
      <c r="N22" s="4" t="s">
        <v>671</v>
      </c>
      <c r="O22" s="4">
        <f>+IFERROR('Resultados Oc'!K15+'Resultados Oc'!L15,0)</f>
        <v>0</v>
      </c>
      <c r="P22" s="4">
        <f>+IFERROR('Resultados OcRef'!K15+'Resultados OcRef'!L15,0)</f>
        <v>0</v>
      </c>
    </row>
    <row r="23" spans="6:16" x14ac:dyDescent="0.25">
      <c r="F23" s="712" t="s">
        <v>121</v>
      </c>
      <c r="G23" s="712"/>
      <c r="H23" s="712"/>
      <c r="N23" s="712" t="s">
        <v>121</v>
      </c>
      <c r="O23" s="712"/>
      <c r="P23" s="712"/>
    </row>
    <row r="24" spans="6:16" x14ac:dyDescent="0.25">
      <c r="F24" s="4" t="s">
        <v>721</v>
      </c>
      <c r="G24" s="224"/>
      <c r="H24" s="224" t="str">
        <f>+IF('C.Recicladores'!C120="Cantidad pequeño","Manual",IF('C.Recicladores'!C120="Cantidad mediano","Semimecanizado","Mecanizado"))</f>
        <v>Manual</v>
      </c>
      <c r="N24" s="4" t="s">
        <v>721</v>
      </c>
      <c r="O24" s="224"/>
      <c r="P24" s="224" t="str">
        <f>+IF('C.Recicladores'!C120="Cantidad pequeño","Manual",IF('C.Recicladores'!C120="Cantidad mediano","Semimecanizado","Mecanizado"))</f>
        <v>Manual</v>
      </c>
    </row>
    <row r="25" spans="6:16" x14ac:dyDescent="0.25">
      <c r="F25" s="4" t="s">
        <v>672</v>
      </c>
      <c r="G25" s="224">
        <f>+'Resultados Oc'!H30</f>
        <v>0</v>
      </c>
      <c r="H25" s="224">
        <f>+'Resultados OcRef'!H29</f>
        <v>0</v>
      </c>
      <c r="N25" s="4" t="s">
        <v>672</v>
      </c>
      <c r="O25" s="224">
        <f>+'Resultados Oc'!K30</f>
        <v>0</v>
      </c>
      <c r="P25" s="224">
        <f>+'Resultados OcRef'!K29</f>
        <v>0</v>
      </c>
    </row>
    <row r="26" spans="6:16" x14ac:dyDescent="0.25">
      <c r="F26" s="4" t="s">
        <v>671</v>
      </c>
      <c r="G26" s="69">
        <f>+IFERROR('Resultados Oc'!H25,0)</f>
        <v>0</v>
      </c>
      <c r="H26" s="69">
        <f>+IFERROR('Resultados OcRef'!H25,0)</f>
        <v>0</v>
      </c>
      <c r="N26" s="4" t="s">
        <v>671</v>
      </c>
      <c r="O26" s="69">
        <f>+IFERROR('Resultados Oc'!K25,0)</f>
        <v>0</v>
      </c>
      <c r="P26" s="69">
        <f>+IFERROR('Resultados OcRef'!K25,0)</f>
        <v>0</v>
      </c>
    </row>
  </sheetData>
  <mergeCells count="12">
    <mergeCell ref="F23:H23"/>
    <mergeCell ref="N3:P3"/>
    <mergeCell ref="N5:P5"/>
    <mergeCell ref="N8:P8"/>
    <mergeCell ref="N18:P18"/>
    <mergeCell ref="N20:P20"/>
    <mergeCell ref="N23:P23"/>
    <mergeCell ref="F3:H3"/>
    <mergeCell ref="F5:H5"/>
    <mergeCell ref="F8:H8"/>
    <mergeCell ref="F18:H18"/>
    <mergeCell ref="F20:H20"/>
  </mergeCells>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8" id="{B686BE87-123A-4F43-A3B4-57D79D4BD3F6}">
            <xm:f>'Resultados Oc'!$B$93=FALSE</xm:f>
            <x14:dxf>
              <font>
                <color theme="0"/>
              </font>
              <fill>
                <patternFill>
                  <bgColor theme="0"/>
                </patternFill>
              </fill>
              <border>
                <left/>
                <right/>
                <top/>
                <bottom/>
                <vertical/>
                <horizontal/>
              </border>
            </x14:dxf>
          </x14:cfRule>
          <xm:sqref>F3:H8 F10:H11</xm:sqref>
        </x14:conditionalFormatting>
        <x14:conditionalFormatting xmlns:xm="http://schemas.microsoft.com/office/excel/2006/main">
          <x14:cfRule type="expression" priority="7" id="{9F629F4F-DE98-4EAA-885C-CEB98B5895E6}">
            <xm:f>'Resultados Oc'!$B$95=FALSE</xm:f>
            <x14:dxf>
              <font>
                <color theme="0"/>
              </font>
              <fill>
                <patternFill>
                  <bgColor theme="0"/>
                </patternFill>
              </fill>
              <border>
                <left/>
                <right/>
                <top/>
                <bottom/>
                <vertical/>
                <horizontal/>
              </border>
            </x14:dxf>
          </x14:cfRule>
          <xm:sqref>F18:H23 F25:H26</xm:sqref>
        </x14:conditionalFormatting>
        <x14:conditionalFormatting xmlns:xm="http://schemas.microsoft.com/office/excel/2006/main">
          <x14:cfRule type="expression" priority="6" id="{104EE28F-F6A7-4E39-91EF-AA4D9EB3C4E5}">
            <xm:f>'Resultados Oc'!$B$94=FALSE</xm:f>
            <x14:dxf>
              <font>
                <color theme="0"/>
              </font>
              <fill>
                <patternFill>
                  <bgColor theme="0"/>
                </patternFill>
              </fill>
              <border>
                <left/>
                <right/>
                <top/>
                <bottom/>
                <vertical/>
                <horizontal/>
              </border>
            </x14:dxf>
          </x14:cfRule>
          <xm:sqref>N3:P8 N10:P11</xm:sqref>
        </x14:conditionalFormatting>
        <x14:conditionalFormatting xmlns:xm="http://schemas.microsoft.com/office/excel/2006/main">
          <x14:cfRule type="expression" priority="5" id="{C5A3187B-FC68-4C28-8F96-6FB9C3DF9925}">
            <xm:f>'Resultados Oc'!$B$96=FALSE</xm:f>
            <x14:dxf>
              <font>
                <color theme="0"/>
              </font>
              <fill>
                <patternFill>
                  <bgColor theme="0"/>
                </patternFill>
              </fill>
              <border>
                <left/>
                <right/>
                <top/>
                <bottom/>
                <vertical/>
                <horizontal/>
              </border>
            </x14:dxf>
          </x14:cfRule>
          <xm:sqref>N18:P23 N25:P26</xm:sqref>
        </x14:conditionalFormatting>
        <x14:conditionalFormatting xmlns:xm="http://schemas.microsoft.com/office/excel/2006/main">
          <x14:cfRule type="expression" priority="4" id="{9286EC1E-1D3A-48B1-8943-CB6A1358D2E7}">
            <xm:f>'Resultados Oc'!$B$96=FALSE</xm:f>
            <x14:dxf>
              <font>
                <color theme="0"/>
              </font>
              <fill>
                <patternFill>
                  <bgColor theme="0"/>
                </patternFill>
              </fill>
              <border>
                <left/>
                <right/>
                <top/>
                <bottom/>
                <vertical/>
                <horizontal/>
              </border>
            </x14:dxf>
          </x14:cfRule>
          <xm:sqref>N24:P24</xm:sqref>
        </x14:conditionalFormatting>
        <x14:conditionalFormatting xmlns:xm="http://schemas.microsoft.com/office/excel/2006/main">
          <x14:cfRule type="expression" priority="3" id="{A5475CD4-CA01-4202-A795-505585C51FB0}">
            <xm:f>'Resultados Oc'!$B$95=FALSE</xm:f>
            <x14:dxf>
              <font>
                <color theme="0"/>
              </font>
              <fill>
                <patternFill>
                  <bgColor theme="0"/>
                </patternFill>
              </fill>
              <border>
                <left/>
                <right/>
                <top/>
                <bottom/>
                <vertical/>
                <horizontal/>
              </border>
            </x14:dxf>
          </x14:cfRule>
          <xm:sqref>F24:H24</xm:sqref>
        </x14:conditionalFormatting>
        <x14:conditionalFormatting xmlns:xm="http://schemas.microsoft.com/office/excel/2006/main">
          <x14:cfRule type="expression" priority="2" id="{C6F368ED-7CCF-4822-B8A1-8954437B08F1}">
            <xm:f>'Resultados Oc'!$B$93=FALSE</xm:f>
            <x14:dxf>
              <font>
                <color theme="0"/>
              </font>
              <fill>
                <patternFill>
                  <bgColor theme="0"/>
                </patternFill>
              </fill>
              <border>
                <left/>
                <right/>
                <top/>
                <bottom/>
                <vertical/>
                <horizontal/>
              </border>
            </x14:dxf>
          </x14:cfRule>
          <xm:sqref>F9:H9</xm:sqref>
        </x14:conditionalFormatting>
        <x14:conditionalFormatting xmlns:xm="http://schemas.microsoft.com/office/excel/2006/main">
          <x14:cfRule type="expression" priority="1" id="{EEE7BA09-C192-4741-8730-CB70017CA4C0}">
            <xm:f>'Resultados Oc'!$B$94=FALSE</xm:f>
            <x14:dxf>
              <font>
                <color theme="0"/>
              </font>
              <fill>
                <patternFill>
                  <bgColor theme="0"/>
                </patternFill>
              </fill>
              <border>
                <left/>
                <right/>
                <top/>
                <bottom/>
                <vertical/>
                <horizontal/>
              </border>
            </x14:dxf>
          </x14:cfRule>
          <xm:sqref>N9:P9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D435"/>
  <sheetViews>
    <sheetView showGridLines="0" view="pageBreakPreview" topLeftCell="A4" zoomScale="60" zoomScaleNormal="85" workbookViewId="0">
      <selection activeCell="B4" sqref="B4"/>
    </sheetView>
  </sheetViews>
  <sheetFormatPr baseColWidth="10" defaultColWidth="3.7109375" defaultRowHeight="18" customHeight="1" x14ac:dyDescent="0.25"/>
  <cols>
    <col min="1" max="7" width="3.7109375" style="214"/>
    <col min="8" max="8" width="4.5703125" style="214" customWidth="1"/>
    <col min="9" max="16384" width="3.7109375" style="214"/>
  </cols>
  <sheetData>
    <row r="1" spans="1:52" ht="18" customHeight="1" x14ac:dyDescent="0.25">
      <c r="A1" s="221"/>
      <c r="B1" s="221"/>
      <c r="C1" s="221"/>
      <c r="D1" s="221"/>
      <c r="E1" s="221"/>
      <c r="F1" s="221"/>
      <c r="G1" s="221"/>
      <c r="H1" s="221"/>
      <c r="I1" s="221"/>
      <c r="J1" s="221"/>
      <c r="K1" s="221"/>
      <c r="L1" s="221"/>
      <c r="M1" s="221"/>
    </row>
    <row r="2" spans="1:52" ht="18" customHeight="1" x14ac:dyDescent="0.25">
      <c r="A2" s="221"/>
      <c r="B2" s="133"/>
      <c r="C2" s="133"/>
      <c r="D2" s="133"/>
      <c r="E2" s="133"/>
      <c r="F2" s="133"/>
      <c r="G2" s="133"/>
      <c r="H2" s="133"/>
      <c r="I2" s="133"/>
      <c r="J2" s="133"/>
      <c r="K2" s="133"/>
      <c r="L2" s="133"/>
      <c r="M2" s="133"/>
    </row>
    <row r="3" spans="1:52" ht="47.25" customHeight="1" x14ac:dyDescent="0.25">
      <c r="A3" s="221"/>
      <c r="B3" s="133"/>
      <c r="C3" s="133"/>
      <c r="I3" s="696" t="s">
        <v>427</v>
      </c>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697"/>
      <c r="AQ3" s="697"/>
      <c r="AR3" s="697"/>
      <c r="AS3" s="697"/>
      <c r="AT3" s="697"/>
      <c r="AU3" s="697"/>
      <c r="AV3" s="697"/>
      <c r="AW3" s="697"/>
      <c r="AX3" s="697"/>
      <c r="AY3" s="697"/>
      <c r="AZ3" s="641"/>
    </row>
    <row r="4" spans="1:52" ht="18" customHeight="1" x14ac:dyDescent="0.25">
      <c r="A4" s="221"/>
      <c r="B4" s="133"/>
      <c r="C4" s="133"/>
      <c r="W4" s="751"/>
      <c r="X4" s="751"/>
      <c r="Y4" s="751"/>
      <c r="Z4" s="751"/>
      <c r="AA4" s="751"/>
      <c r="AB4" s="751"/>
      <c r="AC4" s="751"/>
      <c r="AD4" s="751"/>
      <c r="AE4" s="751"/>
      <c r="AF4" s="751"/>
    </row>
    <row r="8" spans="1:52" ht="27" customHeight="1" x14ac:dyDescent="0.25"/>
    <row r="14" spans="1:52" ht="8.4499999999999993" customHeight="1" x14ac:dyDescent="0.25"/>
    <row r="15" spans="1:52" ht="7.15" customHeight="1" x14ac:dyDescent="0.25"/>
    <row r="16" spans="1:52" ht="18.600000000000001" customHeight="1" x14ac:dyDescent="0.25"/>
    <row r="27" spans="2:3" ht="18" customHeight="1" x14ac:dyDescent="0.25">
      <c r="B27" s="211"/>
      <c r="C27" s="215"/>
    </row>
    <row r="28" spans="2:3" ht="18" customHeight="1" x14ac:dyDescent="0.25">
      <c r="B28" s="152"/>
      <c r="C28" s="152"/>
    </row>
    <row r="29" spans="2:3" ht="18" customHeight="1" x14ac:dyDescent="0.25">
      <c r="B29" s="131"/>
      <c r="C29" s="132"/>
    </row>
    <row r="30" spans="2:3" ht="18" customHeight="1" x14ac:dyDescent="0.25">
      <c r="B30" s="132"/>
      <c r="C30" s="132"/>
    </row>
    <row r="31" spans="2:3" ht="18" customHeight="1" x14ac:dyDescent="0.25">
      <c r="B31" s="211"/>
      <c r="C31" s="215"/>
    </row>
    <row r="32" spans="2:3" ht="18" customHeight="1" x14ac:dyDescent="0.25">
      <c r="B32" s="132"/>
      <c r="C32" s="132"/>
    </row>
    <row r="33" spans="2:3" ht="18" customHeight="1" x14ac:dyDescent="0.25">
      <c r="B33" s="132"/>
      <c r="C33" s="132"/>
    </row>
    <row r="34" spans="2:3" ht="10.9" customHeight="1" x14ac:dyDescent="0.25">
      <c r="B34" s="132"/>
      <c r="C34" s="132"/>
    </row>
    <row r="35" spans="2:3" ht="8.4499999999999993" customHeight="1" x14ac:dyDescent="0.25">
      <c r="B35" s="132"/>
      <c r="C35" s="132"/>
    </row>
    <row r="36" spans="2:3" ht="36" customHeight="1" x14ac:dyDescent="0.25">
      <c r="B36" s="132"/>
      <c r="C36" s="132"/>
    </row>
    <row r="37" spans="2:3" ht="18" customHeight="1" x14ac:dyDescent="0.25">
      <c r="B37" s="132"/>
      <c r="C37" s="132"/>
    </row>
    <row r="38" spans="2:3" ht="18" customHeight="1" x14ac:dyDescent="0.25">
      <c r="B38" s="132"/>
      <c r="C38" s="132"/>
    </row>
    <row r="39" spans="2:3" ht="18" customHeight="1" x14ac:dyDescent="0.25">
      <c r="B39" s="132"/>
      <c r="C39" s="132"/>
    </row>
    <row r="40" spans="2:3" ht="18" customHeight="1" x14ac:dyDescent="0.25">
      <c r="B40" s="132"/>
      <c r="C40" s="132"/>
    </row>
    <row r="41" spans="2:3" ht="18" customHeight="1" x14ac:dyDescent="0.25">
      <c r="B41" s="132"/>
      <c r="C41" s="132"/>
    </row>
    <row r="42" spans="2:3" ht="18" customHeight="1" x14ac:dyDescent="0.25">
      <c r="B42" s="132"/>
      <c r="C42" s="132"/>
    </row>
    <row r="43" spans="2:3" ht="18" customHeight="1" x14ac:dyDescent="0.25">
      <c r="B43" s="132"/>
      <c r="C43" s="132"/>
    </row>
    <row r="44" spans="2:3" ht="18" customHeight="1" x14ac:dyDescent="0.25">
      <c r="B44" s="132"/>
      <c r="C44" s="132"/>
    </row>
    <row r="45" spans="2:3" ht="18" customHeight="1" x14ac:dyDescent="0.25">
      <c r="B45" s="132"/>
      <c r="C45" s="132"/>
    </row>
    <row r="46" spans="2:3" ht="18" customHeight="1" x14ac:dyDescent="0.25">
      <c r="B46" s="132"/>
      <c r="C46" s="132"/>
    </row>
    <row r="47" spans="2:3" ht="18" customHeight="1" x14ac:dyDescent="0.25">
      <c r="B47" s="132"/>
      <c r="C47" s="132"/>
    </row>
    <row r="48" spans="2:3" ht="18" customHeight="1" x14ac:dyDescent="0.25">
      <c r="B48" s="132"/>
      <c r="C48" s="132"/>
    </row>
    <row r="49" spans="2:3" ht="18" customHeight="1" x14ac:dyDescent="0.25">
      <c r="B49" s="132"/>
      <c r="C49" s="132"/>
    </row>
    <row r="50" spans="2:3" ht="18" customHeight="1" x14ac:dyDescent="0.25">
      <c r="B50" s="132"/>
      <c r="C50" s="132"/>
    </row>
    <row r="51" spans="2:3" ht="15" x14ac:dyDescent="0.25">
      <c r="B51" s="131"/>
      <c r="C51" s="216"/>
    </row>
    <row r="52" spans="2:3" ht="15" x14ac:dyDescent="0.25">
      <c r="B52" s="131"/>
      <c r="C52" s="216"/>
    </row>
    <row r="53" spans="2:3" ht="51.6" customHeight="1" x14ac:dyDescent="0.25">
      <c r="B53" s="131"/>
      <c r="C53" s="216"/>
    </row>
    <row r="54" spans="2:3" ht="18" customHeight="1" x14ac:dyDescent="0.25">
      <c r="B54" s="131"/>
      <c r="C54" s="216"/>
    </row>
    <row r="55" spans="2:3" ht="18" customHeight="1" x14ac:dyDescent="0.25">
      <c r="B55" s="131"/>
      <c r="C55" s="216"/>
    </row>
    <row r="56" spans="2:3" ht="18" customHeight="1" x14ac:dyDescent="0.25">
      <c r="B56" s="131"/>
      <c r="C56" s="216"/>
    </row>
    <row r="57" spans="2:3" ht="18" customHeight="1" x14ac:dyDescent="0.25">
      <c r="B57" s="131"/>
      <c r="C57" s="216"/>
    </row>
    <row r="58" spans="2:3" ht="18" customHeight="1" x14ac:dyDescent="0.25">
      <c r="B58" s="131"/>
      <c r="C58" s="216"/>
    </row>
    <row r="59" spans="2:3" ht="18" customHeight="1" x14ac:dyDescent="0.25">
      <c r="B59" s="131"/>
      <c r="C59" s="216"/>
    </row>
    <row r="60" spans="2:3" ht="18" customHeight="1" x14ac:dyDescent="0.25">
      <c r="B60" s="131"/>
      <c r="C60" s="216"/>
    </row>
    <row r="61" spans="2:3" ht="18" customHeight="1" x14ac:dyDescent="0.25">
      <c r="B61" s="131"/>
      <c r="C61" s="216"/>
    </row>
    <row r="62" spans="2:3" ht="18" customHeight="1" x14ac:dyDescent="0.25">
      <c r="B62" s="131"/>
      <c r="C62" s="216"/>
    </row>
    <row r="63" spans="2:3" ht="18" customHeight="1" x14ac:dyDescent="0.25">
      <c r="B63" s="131"/>
      <c r="C63" s="216"/>
    </row>
    <row r="64" spans="2:3" ht="18" customHeight="1" x14ac:dyDescent="0.25">
      <c r="B64" s="131"/>
      <c r="C64" s="216"/>
    </row>
    <row r="65" spans="2:3" ht="18" customHeight="1" x14ac:dyDescent="0.25">
      <c r="B65" s="131"/>
      <c r="C65" s="216"/>
    </row>
    <row r="66" spans="2:3" ht="18" customHeight="1" x14ac:dyDescent="0.25">
      <c r="B66" s="131"/>
      <c r="C66" s="216"/>
    </row>
    <row r="67" spans="2:3" ht="18" customHeight="1" x14ac:dyDescent="0.25">
      <c r="B67" s="131"/>
      <c r="C67" s="216"/>
    </row>
    <row r="68" spans="2:3" ht="18" customHeight="1" x14ac:dyDescent="0.25">
      <c r="B68" s="131"/>
      <c r="C68" s="216"/>
    </row>
    <row r="69" spans="2:3" ht="18" customHeight="1" x14ac:dyDescent="0.25">
      <c r="B69" s="131"/>
      <c r="C69" s="216"/>
    </row>
    <row r="70" spans="2:3" ht="54" customHeight="1" x14ac:dyDescent="0.25">
      <c r="B70" s="131"/>
      <c r="C70" s="216"/>
    </row>
    <row r="71" spans="2:3" ht="18" customHeight="1" x14ac:dyDescent="0.25">
      <c r="B71" s="131"/>
      <c r="C71" s="216"/>
    </row>
    <row r="72" spans="2:3" ht="18" customHeight="1" x14ac:dyDescent="0.25">
      <c r="B72" s="131"/>
      <c r="C72" s="216"/>
    </row>
    <row r="73" spans="2:3" ht="18" customHeight="1" x14ac:dyDescent="0.25">
      <c r="B73" s="131"/>
      <c r="C73" s="216"/>
    </row>
    <row r="74" spans="2:3" ht="18" customHeight="1" x14ac:dyDescent="0.25">
      <c r="B74" s="131"/>
      <c r="C74" s="216"/>
    </row>
    <row r="75" spans="2:3" ht="18" customHeight="1" x14ac:dyDescent="0.25">
      <c r="B75" s="131"/>
      <c r="C75" s="216"/>
    </row>
    <row r="76" spans="2:3" ht="18" customHeight="1" x14ac:dyDescent="0.25">
      <c r="B76" s="132"/>
      <c r="C76" s="132"/>
    </row>
    <row r="77" spans="2:3" ht="18" customHeight="1" x14ac:dyDescent="0.25">
      <c r="B77" s="211"/>
      <c r="C77" s="132"/>
    </row>
    <row r="78" spans="2:3" ht="18" customHeight="1" x14ac:dyDescent="0.25">
      <c r="B78" s="211"/>
      <c r="C78" s="132"/>
    </row>
    <row r="79" spans="2:3" ht="18" customHeight="1" x14ac:dyDescent="0.25">
      <c r="B79" s="211"/>
      <c r="C79" s="132"/>
    </row>
    <row r="80" spans="2:3" ht="18" customHeight="1" x14ac:dyDescent="0.25">
      <c r="C80" s="218"/>
    </row>
    <row r="82" spans="2:7" ht="18" customHeight="1" x14ac:dyDescent="0.25">
      <c r="B82" s="217"/>
      <c r="C82" s="132"/>
    </row>
    <row r="84" spans="2:7" ht="18" customHeight="1" x14ac:dyDescent="0.25">
      <c r="B84" s="211"/>
      <c r="C84" s="132"/>
    </row>
    <row r="85" spans="2:7" ht="18" customHeight="1" x14ac:dyDescent="0.25">
      <c r="B85" s="211"/>
      <c r="C85" s="132"/>
    </row>
    <row r="86" spans="2:7" ht="18" customHeight="1" x14ac:dyDescent="0.25">
      <c r="B86" s="211"/>
      <c r="C86" s="132"/>
    </row>
    <row r="87" spans="2:7" ht="18" customHeight="1" x14ac:dyDescent="0.25">
      <c r="B87" s="211"/>
      <c r="C87" s="132"/>
    </row>
    <row r="88" spans="2:7" ht="18" customHeight="1" x14ac:dyDescent="0.25">
      <c r="B88" s="211"/>
      <c r="C88" s="132"/>
    </row>
    <row r="89" spans="2:7" ht="18" customHeight="1" x14ac:dyDescent="0.25">
      <c r="B89" s="211"/>
      <c r="C89" s="132"/>
    </row>
    <row r="90" spans="2:7" ht="18" customHeight="1" x14ac:dyDescent="0.25">
      <c r="B90" s="211"/>
      <c r="C90" s="132"/>
    </row>
    <row r="91" spans="2:7" ht="18" customHeight="1" x14ac:dyDescent="0.25">
      <c r="B91" s="211"/>
      <c r="C91" s="132"/>
      <c r="F91" s="748"/>
      <c r="G91" s="748"/>
    </row>
    <row r="92" spans="2:7" ht="18" customHeight="1" x14ac:dyDescent="0.25">
      <c r="B92" s="748"/>
      <c r="C92" s="748"/>
    </row>
    <row r="93" spans="2:7" ht="18" customHeight="1" x14ac:dyDescent="0.25">
      <c r="B93" s="211"/>
      <c r="C93" s="132"/>
    </row>
    <row r="94" spans="2:7" ht="18" customHeight="1" x14ac:dyDescent="0.25">
      <c r="B94" s="211"/>
      <c r="C94" s="132"/>
    </row>
    <row r="95" spans="2:7" ht="18" customHeight="1" x14ac:dyDescent="0.25">
      <c r="B95" s="211"/>
      <c r="C95" s="132"/>
    </row>
    <row r="96" spans="2:7" ht="18" customHeight="1" x14ac:dyDescent="0.25">
      <c r="B96" s="211"/>
      <c r="C96" s="132"/>
    </row>
    <row r="97" spans="2:3" ht="18" customHeight="1" x14ac:dyDescent="0.25">
      <c r="B97" s="211"/>
      <c r="C97" s="132"/>
    </row>
    <row r="98" spans="2:3" ht="18" customHeight="1" x14ac:dyDescent="0.25">
      <c r="B98" s="211"/>
      <c r="C98" s="132"/>
    </row>
    <row r="99" spans="2:3" ht="18" customHeight="1" x14ac:dyDescent="0.25">
      <c r="B99" s="211"/>
      <c r="C99" s="132"/>
    </row>
    <row r="100" spans="2:3" ht="18" customHeight="1" x14ac:dyDescent="0.25">
      <c r="B100" s="211"/>
      <c r="C100" s="132"/>
    </row>
    <row r="101" spans="2:3" ht="18" customHeight="1" x14ac:dyDescent="0.25">
      <c r="B101" s="211"/>
      <c r="C101" s="132"/>
    </row>
    <row r="102" spans="2:3" ht="18" customHeight="1" x14ac:dyDescent="0.25">
      <c r="B102" s="211"/>
      <c r="C102" s="132"/>
    </row>
    <row r="103" spans="2:3" ht="18" customHeight="1" x14ac:dyDescent="0.25">
      <c r="B103" s="211"/>
      <c r="C103" s="132"/>
    </row>
    <row r="104" spans="2:3" ht="18" customHeight="1" x14ac:dyDescent="0.25">
      <c r="B104" s="211"/>
      <c r="C104" s="132"/>
    </row>
    <row r="105" spans="2:3" ht="18" customHeight="1" x14ac:dyDescent="0.25">
      <c r="B105" s="211"/>
      <c r="C105" s="132"/>
    </row>
    <row r="106" spans="2:3" ht="18" customHeight="1" x14ac:dyDescent="0.25">
      <c r="B106" s="211"/>
      <c r="C106" s="132"/>
    </row>
    <row r="107" spans="2:3" ht="18" customHeight="1" x14ac:dyDescent="0.25">
      <c r="B107" s="211"/>
      <c r="C107" s="132"/>
    </row>
    <row r="108" spans="2:3" ht="18" customHeight="1" x14ac:dyDescent="0.25">
      <c r="B108" s="211"/>
      <c r="C108" s="132"/>
    </row>
    <row r="109" spans="2:3" ht="18" customHeight="1" x14ac:dyDescent="0.25">
      <c r="B109" s="211"/>
      <c r="C109" s="132"/>
    </row>
    <row r="110" spans="2:3" ht="18" customHeight="1" x14ac:dyDescent="0.25">
      <c r="B110" s="211"/>
      <c r="C110" s="132"/>
    </row>
    <row r="111" spans="2:3" ht="18" customHeight="1" x14ac:dyDescent="0.25">
      <c r="B111" s="217"/>
      <c r="C111" s="218"/>
    </row>
    <row r="112" spans="2:3" ht="18" customHeight="1" x14ac:dyDescent="0.25">
      <c r="B112" s="748"/>
      <c r="C112" s="748"/>
    </row>
    <row r="113" spans="2:3" ht="18" customHeight="1" x14ac:dyDescent="0.25">
      <c r="B113" s="749"/>
      <c r="C113" s="749"/>
    </row>
    <row r="114" spans="2:3" ht="18" customHeight="1" x14ac:dyDescent="0.25">
      <c r="B114" s="132"/>
      <c r="C114" s="218"/>
    </row>
    <row r="115" spans="2:3" ht="18" customHeight="1" x14ac:dyDescent="0.25">
      <c r="B115" s="218"/>
      <c r="C115" s="132"/>
    </row>
    <row r="116" spans="2:3" ht="18" customHeight="1" x14ac:dyDescent="0.25">
      <c r="B116" s="220"/>
      <c r="C116" s="218"/>
    </row>
    <row r="117" spans="2:3" ht="18" customHeight="1" x14ac:dyDescent="0.25">
      <c r="B117" s="750"/>
      <c r="C117" s="750"/>
    </row>
    <row r="118" spans="2:3" ht="18" customHeight="1" x14ac:dyDescent="0.25">
      <c r="B118" s="211"/>
      <c r="C118" s="132"/>
    </row>
    <row r="119" spans="2:3" ht="18" customHeight="1" x14ac:dyDescent="0.25">
      <c r="B119" s="211"/>
      <c r="C119" s="132"/>
    </row>
    <row r="120" spans="2:3" ht="18" customHeight="1" x14ac:dyDescent="0.25">
      <c r="B120" s="211"/>
      <c r="C120" s="132"/>
    </row>
    <row r="121" spans="2:3" ht="18" customHeight="1" x14ac:dyDescent="0.25">
      <c r="B121" s="211"/>
      <c r="C121" s="132"/>
    </row>
    <row r="122" spans="2:3" ht="18" customHeight="1" x14ac:dyDescent="0.25">
      <c r="B122" s="211"/>
      <c r="C122" s="132"/>
    </row>
    <row r="123" spans="2:3" ht="18" customHeight="1" x14ac:dyDescent="0.25">
      <c r="B123" s="211"/>
      <c r="C123" s="132"/>
    </row>
    <row r="124" spans="2:3" ht="18" customHeight="1" x14ac:dyDescent="0.25">
      <c r="B124" s="211"/>
      <c r="C124" s="132"/>
    </row>
    <row r="125" spans="2:3" ht="18" customHeight="1" x14ac:dyDescent="0.25">
      <c r="B125" s="211"/>
      <c r="C125" s="132"/>
    </row>
    <row r="126" spans="2:3" ht="18" customHeight="1" x14ac:dyDescent="0.25">
      <c r="B126" s="211"/>
      <c r="C126" s="132"/>
    </row>
    <row r="127" spans="2:3" ht="18" customHeight="1" x14ac:dyDescent="0.25">
      <c r="B127" s="211"/>
      <c r="C127" s="132"/>
    </row>
    <row r="128" spans="2:3" ht="18" customHeight="1" x14ac:dyDescent="0.25">
      <c r="B128" s="211"/>
      <c r="C128" s="132"/>
    </row>
    <row r="129" spans="2:3" ht="18" customHeight="1" x14ac:dyDescent="0.25">
      <c r="B129" s="211"/>
      <c r="C129" s="132"/>
    </row>
    <row r="130" spans="2:3" ht="18" customHeight="1" x14ac:dyDescent="0.25">
      <c r="B130" s="211"/>
      <c r="C130" s="132"/>
    </row>
    <row r="131" spans="2:3" ht="18" customHeight="1" x14ac:dyDescent="0.25">
      <c r="B131" s="211"/>
      <c r="C131" s="132"/>
    </row>
    <row r="132" spans="2:3" ht="18" customHeight="1" x14ac:dyDescent="0.25">
      <c r="B132" s="211"/>
      <c r="C132" s="132"/>
    </row>
    <row r="133" spans="2:3" ht="18" customHeight="1" x14ac:dyDescent="0.25">
      <c r="B133" s="211"/>
      <c r="C133" s="132"/>
    </row>
    <row r="134" spans="2:3" ht="18" customHeight="1" x14ac:dyDescent="0.25">
      <c r="B134" s="211"/>
      <c r="C134" s="132"/>
    </row>
    <row r="135" spans="2:3" ht="18" customHeight="1" x14ac:dyDescent="0.25">
      <c r="B135" s="211"/>
      <c r="C135" s="132"/>
    </row>
    <row r="136" spans="2:3" ht="18" customHeight="1" x14ac:dyDescent="0.25">
      <c r="B136" s="211"/>
      <c r="C136" s="132"/>
    </row>
    <row r="137" spans="2:3" ht="18" customHeight="1" x14ac:dyDescent="0.25">
      <c r="B137" s="211"/>
      <c r="C137" s="132"/>
    </row>
    <row r="138" spans="2:3" ht="18" customHeight="1" x14ac:dyDescent="0.25">
      <c r="B138" s="211"/>
      <c r="C138" s="132"/>
    </row>
    <row r="139" spans="2:3" ht="18" customHeight="1" x14ac:dyDescent="0.25">
      <c r="B139" s="211"/>
      <c r="C139" s="132"/>
    </row>
    <row r="140" spans="2:3" ht="18" customHeight="1" x14ac:dyDescent="0.25">
      <c r="B140" s="211"/>
      <c r="C140" s="132"/>
    </row>
    <row r="141" spans="2:3" ht="18" customHeight="1" x14ac:dyDescent="0.25">
      <c r="B141" s="220"/>
      <c r="C141" s="218"/>
    </row>
    <row r="142" spans="2:3" ht="18" customHeight="1" x14ac:dyDescent="0.25">
      <c r="B142" s="748"/>
      <c r="C142" s="748"/>
    </row>
    <row r="143" spans="2:3" ht="18" customHeight="1" x14ac:dyDescent="0.25">
      <c r="B143" s="211"/>
      <c r="C143" s="132"/>
    </row>
    <row r="144" spans="2:3" ht="18" customHeight="1" x14ac:dyDescent="0.25">
      <c r="B144" s="211"/>
      <c r="C144" s="132"/>
    </row>
    <row r="145" spans="2:3" ht="18" customHeight="1" x14ac:dyDescent="0.25">
      <c r="B145" s="211"/>
      <c r="C145" s="132"/>
    </row>
    <row r="146" spans="2:3" ht="18" customHeight="1" x14ac:dyDescent="0.25">
      <c r="B146" s="211"/>
      <c r="C146" s="132"/>
    </row>
    <row r="147" spans="2:3" ht="18" customHeight="1" x14ac:dyDescent="0.25">
      <c r="B147" s="211"/>
      <c r="C147" s="132"/>
    </row>
    <row r="148" spans="2:3" ht="18" customHeight="1" x14ac:dyDescent="0.25">
      <c r="B148" s="211"/>
      <c r="C148" s="132"/>
    </row>
    <row r="149" spans="2:3" ht="18" customHeight="1" x14ac:dyDescent="0.25">
      <c r="B149" s="211"/>
      <c r="C149" s="132"/>
    </row>
    <row r="150" spans="2:3" ht="18" customHeight="1" x14ac:dyDescent="0.25">
      <c r="B150" s="211"/>
      <c r="C150" s="132"/>
    </row>
    <row r="151" spans="2:3" ht="18" customHeight="1" x14ac:dyDescent="0.25">
      <c r="B151" s="211"/>
      <c r="C151" s="132"/>
    </row>
    <row r="152" spans="2:3" ht="18" customHeight="1" x14ac:dyDescent="0.25">
      <c r="B152" s="211"/>
      <c r="C152" s="132"/>
    </row>
    <row r="153" spans="2:3" ht="18" customHeight="1" x14ac:dyDescent="0.25">
      <c r="B153" s="211"/>
      <c r="C153" s="132"/>
    </row>
    <row r="154" spans="2:3" ht="18" customHeight="1" x14ac:dyDescent="0.25">
      <c r="B154" s="211"/>
      <c r="C154" s="132"/>
    </row>
    <row r="155" spans="2:3" ht="18" customHeight="1" x14ac:dyDescent="0.25">
      <c r="B155" s="211"/>
      <c r="C155" s="132"/>
    </row>
    <row r="156" spans="2:3" ht="18" customHeight="1" x14ac:dyDescent="0.25">
      <c r="B156" s="211"/>
      <c r="C156" s="132"/>
    </row>
    <row r="157" spans="2:3" ht="18" customHeight="1" x14ac:dyDescent="0.25">
      <c r="B157" s="211"/>
      <c r="C157" s="132"/>
    </row>
    <row r="158" spans="2:3" ht="18" customHeight="1" x14ac:dyDescent="0.25">
      <c r="B158" s="211"/>
      <c r="C158" s="132"/>
    </row>
    <row r="159" spans="2:3" ht="18" customHeight="1" x14ac:dyDescent="0.25">
      <c r="B159" s="211"/>
      <c r="C159" s="132"/>
    </row>
    <row r="160" spans="2:3" ht="18" customHeight="1" x14ac:dyDescent="0.25">
      <c r="B160" s="211"/>
      <c r="C160" s="132"/>
    </row>
    <row r="161" spans="2:3" ht="18" customHeight="1" x14ac:dyDescent="0.25">
      <c r="B161" s="211"/>
      <c r="C161" s="132"/>
    </row>
    <row r="162" spans="2:3" ht="18" customHeight="1" x14ac:dyDescent="0.25">
      <c r="B162" s="211"/>
      <c r="C162" s="132"/>
    </row>
    <row r="163" spans="2:3" ht="18" customHeight="1" x14ac:dyDescent="0.25">
      <c r="B163" s="748"/>
      <c r="C163" s="748"/>
    </row>
    <row r="164" spans="2:3" ht="18" customHeight="1" x14ac:dyDescent="0.25">
      <c r="B164" s="211"/>
      <c r="C164" s="132"/>
    </row>
    <row r="165" spans="2:3" ht="18" customHeight="1" x14ac:dyDescent="0.25">
      <c r="B165" s="211"/>
      <c r="C165" s="132"/>
    </row>
    <row r="166" spans="2:3" ht="18" customHeight="1" x14ac:dyDescent="0.25">
      <c r="B166" s="211"/>
      <c r="C166" s="132"/>
    </row>
    <row r="167" spans="2:3" ht="18" customHeight="1" x14ac:dyDescent="0.25">
      <c r="B167" s="211"/>
      <c r="C167" s="132"/>
    </row>
    <row r="168" spans="2:3" ht="18" customHeight="1" x14ac:dyDescent="0.25">
      <c r="B168" s="211"/>
      <c r="C168" s="132"/>
    </row>
    <row r="169" spans="2:3" ht="18" customHeight="1" x14ac:dyDescent="0.25">
      <c r="B169" s="211"/>
      <c r="C169" s="132"/>
    </row>
    <row r="170" spans="2:3" ht="18" customHeight="1" x14ac:dyDescent="0.25">
      <c r="B170" s="211"/>
      <c r="C170" s="132"/>
    </row>
    <row r="171" spans="2:3" ht="18" customHeight="1" x14ac:dyDescent="0.25">
      <c r="B171" s="211"/>
      <c r="C171" s="132"/>
    </row>
    <row r="172" spans="2:3" ht="18" customHeight="1" x14ac:dyDescent="0.25">
      <c r="B172" s="211"/>
      <c r="C172" s="132"/>
    </row>
    <row r="173" spans="2:3" ht="18" customHeight="1" x14ac:dyDescent="0.25">
      <c r="B173" s="211"/>
      <c r="C173" s="132"/>
    </row>
    <row r="174" spans="2:3" ht="18" customHeight="1" x14ac:dyDescent="0.25">
      <c r="B174" s="211"/>
      <c r="C174" s="132"/>
    </row>
    <row r="175" spans="2:3" ht="18" customHeight="1" x14ac:dyDescent="0.25">
      <c r="B175" s="211"/>
      <c r="C175" s="132"/>
    </row>
    <row r="176" spans="2:3" ht="18" customHeight="1" x14ac:dyDescent="0.25">
      <c r="B176" s="211"/>
      <c r="C176" s="132"/>
    </row>
    <row r="177" spans="2:3" ht="18" customHeight="1" x14ac:dyDescent="0.25">
      <c r="B177" s="211"/>
      <c r="C177" s="132"/>
    </row>
    <row r="178" spans="2:3" ht="18" customHeight="1" x14ac:dyDescent="0.25">
      <c r="B178" s="211"/>
      <c r="C178" s="132"/>
    </row>
    <row r="179" spans="2:3" ht="18" customHeight="1" x14ac:dyDescent="0.25">
      <c r="B179" s="211"/>
      <c r="C179" s="132"/>
    </row>
    <row r="180" spans="2:3" ht="18" customHeight="1" x14ac:dyDescent="0.25">
      <c r="B180" s="211"/>
      <c r="C180" s="132"/>
    </row>
    <row r="181" spans="2:3" ht="18" customHeight="1" x14ac:dyDescent="0.25">
      <c r="B181" s="211"/>
      <c r="C181" s="132"/>
    </row>
    <row r="182" spans="2:3" ht="18" customHeight="1" x14ac:dyDescent="0.25">
      <c r="B182" s="211"/>
      <c r="C182" s="132"/>
    </row>
    <row r="183" spans="2:3" ht="18" customHeight="1" x14ac:dyDescent="0.25">
      <c r="B183" s="211"/>
      <c r="C183" s="132"/>
    </row>
    <row r="184" spans="2:3" ht="18" customHeight="1" x14ac:dyDescent="0.25">
      <c r="B184" s="211"/>
      <c r="C184" s="132"/>
    </row>
    <row r="185" spans="2:3" ht="18" customHeight="1" x14ac:dyDescent="0.25">
      <c r="B185" s="211"/>
      <c r="C185" s="132"/>
    </row>
    <row r="186" spans="2:3" ht="18" customHeight="1" x14ac:dyDescent="0.25">
      <c r="B186" s="211"/>
      <c r="C186" s="132"/>
    </row>
    <row r="187" spans="2:3" ht="18" customHeight="1" x14ac:dyDescent="0.25">
      <c r="B187" s="211"/>
      <c r="C187" s="132"/>
    </row>
    <row r="188" spans="2:3" ht="18" customHeight="1" x14ac:dyDescent="0.25">
      <c r="B188" s="211"/>
      <c r="C188" s="132"/>
    </row>
    <row r="189" spans="2:3" ht="18" customHeight="1" x14ac:dyDescent="0.25">
      <c r="B189" s="211"/>
      <c r="C189" s="132"/>
    </row>
    <row r="190" spans="2:3" ht="18" customHeight="1" x14ac:dyDescent="0.25">
      <c r="B190" s="211"/>
      <c r="C190" s="132"/>
    </row>
    <row r="191" spans="2:3" ht="18" customHeight="1" x14ac:dyDescent="0.25">
      <c r="B191" s="211"/>
      <c r="C191" s="132"/>
    </row>
    <row r="192" spans="2:3" ht="18" customHeight="1" x14ac:dyDescent="0.25">
      <c r="B192" s="211"/>
      <c r="C192" s="132"/>
    </row>
    <row r="193" spans="2:3" ht="18" customHeight="1" x14ac:dyDescent="0.25">
      <c r="B193" s="211"/>
      <c r="C193" s="132"/>
    </row>
    <row r="194" spans="2:3" ht="18" customHeight="1" x14ac:dyDescent="0.25">
      <c r="B194" s="211"/>
      <c r="C194" s="132"/>
    </row>
    <row r="195" spans="2:3" ht="18" customHeight="1" x14ac:dyDescent="0.25">
      <c r="B195" s="211"/>
      <c r="C195" s="132"/>
    </row>
    <row r="196" spans="2:3" ht="18" customHeight="1" x14ac:dyDescent="0.25">
      <c r="B196" s="211"/>
      <c r="C196" s="132"/>
    </row>
    <row r="197" spans="2:3" ht="31.9" customHeight="1" x14ac:dyDescent="0.25">
      <c r="B197" s="211"/>
      <c r="C197" s="132"/>
    </row>
    <row r="198" spans="2:3" ht="31.9" customHeight="1" x14ac:dyDescent="0.25">
      <c r="B198" s="211"/>
      <c r="C198" s="132"/>
    </row>
    <row r="199" spans="2:3" ht="31.9" customHeight="1" x14ac:dyDescent="0.25">
      <c r="B199" s="211"/>
      <c r="C199" s="132"/>
    </row>
    <row r="200" spans="2:3" ht="31.9" customHeight="1" x14ac:dyDescent="0.25">
      <c r="B200" s="211"/>
      <c r="C200" s="132"/>
    </row>
    <row r="201" spans="2:3" ht="31.9" customHeight="1" x14ac:dyDescent="0.25">
      <c r="B201" s="211"/>
      <c r="C201" s="132"/>
    </row>
    <row r="202" spans="2:3" ht="31.9" customHeight="1" x14ac:dyDescent="0.25">
      <c r="B202" s="211"/>
      <c r="C202" s="132"/>
    </row>
    <row r="203" spans="2:3" ht="31.9" customHeight="1" x14ac:dyDescent="0.25">
      <c r="B203" s="211"/>
      <c r="C203" s="132"/>
    </row>
    <row r="204" spans="2:3" ht="31.9" customHeight="1" x14ac:dyDescent="0.25">
      <c r="B204" s="211"/>
      <c r="C204" s="132"/>
    </row>
    <row r="205" spans="2:3" ht="31.9" customHeight="1" x14ac:dyDescent="0.25">
      <c r="B205" s="211"/>
      <c r="C205" s="132"/>
    </row>
    <row r="206" spans="2:3" ht="31.9" customHeight="1" x14ac:dyDescent="0.25">
      <c r="B206" s="211"/>
      <c r="C206" s="132"/>
    </row>
    <row r="207" spans="2:3" ht="31.9" customHeight="1" x14ac:dyDescent="0.25">
      <c r="B207" s="211"/>
      <c r="C207" s="132"/>
    </row>
    <row r="208" spans="2:3" ht="31.9" customHeight="1" x14ac:dyDescent="0.25">
      <c r="B208" s="211"/>
      <c r="C208" s="132"/>
    </row>
    <row r="209" spans="2:11" ht="31.9" customHeight="1" x14ac:dyDescent="0.25">
      <c r="B209" s="211"/>
      <c r="C209" s="132"/>
    </row>
    <row r="210" spans="2:11" ht="31.9" customHeight="1" x14ac:dyDescent="0.25">
      <c r="B210" s="211"/>
      <c r="C210" s="132"/>
    </row>
    <row r="211" spans="2:11" ht="31.9" customHeight="1" x14ac:dyDescent="0.25">
      <c r="B211" s="211"/>
      <c r="C211" s="132"/>
    </row>
    <row r="212" spans="2:11" ht="31.9" customHeight="1" x14ac:dyDescent="0.25">
      <c r="B212" s="211"/>
      <c r="C212" s="132"/>
    </row>
    <row r="213" spans="2:11" ht="31.9" customHeight="1" x14ac:dyDescent="0.25">
      <c r="B213" s="211"/>
      <c r="C213" s="132"/>
    </row>
    <row r="214" spans="2:11" ht="31.9" customHeight="1" x14ac:dyDescent="0.25">
      <c r="B214" s="211"/>
      <c r="C214" s="132"/>
    </row>
    <row r="215" spans="2:11" ht="31.9" customHeight="1" x14ac:dyDescent="0.25">
      <c r="B215" s="211"/>
      <c r="C215" s="132"/>
    </row>
    <row r="216" spans="2:11" ht="31.9" customHeight="1" x14ac:dyDescent="0.25">
      <c r="B216" s="211"/>
      <c r="C216" s="132"/>
    </row>
    <row r="217" spans="2:11" ht="31.9" customHeight="1" x14ac:dyDescent="0.25">
      <c r="B217" s="211"/>
      <c r="C217" s="132"/>
    </row>
    <row r="218" spans="2:11" ht="18" customHeight="1" x14ac:dyDescent="0.25">
      <c r="B218" s="211"/>
      <c r="C218" s="132"/>
    </row>
    <row r="219" spans="2:11" ht="18" customHeight="1" x14ac:dyDescent="0.25">
      <c r="B219" s="211"/>
      <c r="C219" s="132"/>
      <c r="K219"/>
    </row>
    <row r="220" spans="2:11" ht="18" customHeight="1" x14ac:dyDescent="0.25">
      <c r="B220" s="211"/>
      <c r="C220" s="132"/>
    </row>
    <row r="221" spans="2:11" ht="18" customHeight="1" x14ac:dyDescent="0.25">
      <c r="B221" s="211"/>
      <c r="C221" s="132"/>
    </row>
    <row r="222" spans="2:11" ht="18" customHeight="1" x14ac:dyDescent="0.25">
      <c r="B222" s="211"/>
      <c r="C222" s="132"/>
    </row>
    <row r="223" spans="2:11" ht="18" customHeight="1" x14ac:dyDescent="0.25">
      <c r="B223" s="211"/>
      <c r="C223" s="132"/>
    </row>
    <row r="224" spans="2:11" ht="18" customHeight="1" x14ac:dyDescent="0.25">
      <c r="B224" s="211"/>
      <c r="C224" s="132"/>
    </row>
    <row r="225" spans="2:3" ht="18" customHeight="1" x14ac:dyDescent="0.25">
      <c r="B225" s="211"/>
      <c r="C225" s="132"/>
    </row>
    <row r="226" spans="2:3" ht="18" customHeight="1" x14ac:dyDescent="0.25">
      <c r="B226" s="211"/>
      <c r="C226" s="132"/>
    </row>
    <row r="227" spans="2:3" ht="18" customHeight="1" x14ac:dyDescent="0.25">
      <c r="B227" s="211"/>
      <c r="C227" s="132"/>
    </row>
    <row r="228" spans="2:3" ht="18" customHeight="1" x14ac:dyDescent="0.25">
      <c r="B228" s="748"/>
      <c r="C228" s="748"/>
    </row>
    <row r="229" spans="2:3" ht="18" customHeight="1" x14ac:dyDescent="0.25">
      <c r="B229" s="219"/>
      <c r="C229" s="219"/>
    </row>
    <row r="230" spans="2:3" ht="18" customHeight="1" x14ac:dyDescent="0.25">
      <c r="B230" s="219"/>
      <c r="C230" s="219"/>
    </row>
    <row r="231" spans="2:3" ht="18" customHeight="1" x14ac:dyDescent="0.25">
      <c r="B231" s="219"/>
      <c r="C231" s="219"/>
    </row>
    <row r="232" spans="2:3" ht="18" customHeight="1" x14ac:dyDescent="0.25">
      <c r="B232" s="219"/>
      <c r="C232" s="219"/>
    </row>
    <row r="233" spans="2:3" ht="18" customHeight="1" x14ac:dyDescent="0.25">
      <c r="B233" s="219"/>
      <c r="C233" s="219"/>
    </row>
    <row r="234" spans="2:3" ht="18" customHeight="1" x14ac:dyDescent="0.25">
      <c r="B234" s="219"/>
      <c r="C234" s="219"/>
    </row>
    <row r="235" spans="2:3" ht="18" customHeight="1" x14ac:dyDescent="0.25">
      <c r="B235" s="219"/>
      <c r="C235" s="219"/>
    </row>
    <row r="236" spans="2:3" ht="18" customHeight="1" x14ac:dyDescent="0.25">
      <c r="B236" s="219"/>
      <c r="C236" s="219"/>
    </row>
    <row r="237" spans="2:3" ht="18" customHeight="1" x14ac:dyDescent="0.25">
      <c r="B237" s="219"/>
      <c r="C237" s="219"/>
    </row>
    <row r="238" spans="2:3" ht="18" customHeight="1" x14ac:dyDescent="0.25">
      <c r="B238" s="219"/>
      <c r="C238" s="219"/>
    </row>
    <row r="239" spans="2:3" ht="18" customHeight="1" x14ac:dyDescent="0.25">
      <c r="B239" s="211"/>
      <c r="C239" s="132"/>
    </row>
    <row r="240" spans="2:3" ht="18" customHeight="1" x14ac:dyDescent="0.25">
      <c r="B240" s="211"/>
      <c r="C240" s="132"/>
    </row>
    <row r="241" spans="2:52" ht="18" customHeight="1" x14ac:dyDescent="0.25">
      <c r="B241" s="211"/>
      <c r="C241" s="132"/>
    </row>
    <row r="242" spans="2:52" ht="18" customHeight="1" x14ac:dyDescent="0.25">
      <c r="B242" s="211"/>
      <c r="C242" s="132"/>
    </row>
    <row r="243" spans="2:52" ht="18" customHeight="1" x14ac:dyDescent="0.25">
      <c r="B243" s="211"/>
      <c r="C243" s="132"/>
    </row>
    <row r="244" spans="2:52" ht="18" customHeight="1" x14ac:dyDescent="0.25">
      <c r="B244" s="211"/>
      <c r="C244" s="132"/>
    </row>
    <row r="245" spans="2:52" ht="18" customHeight="1" x14ac:dyDescent="0.25">
      <c r="B245" s="211"/>
      <c r="C245" s="132"/>
    </row>
    <row r="246" spans="2:52" ht="18" customHeight="1" x14ac:dyDescent="0.25">
      <c r="B246" s="211"/>
      <c r="C246" s="132"/>
    </row>
    <row r="247" spans="2:52" ht="33" customHeight="1" x14ac:dyDescent="0.25">
      <c r="B247" s="211"/>
      <c r="C247" s="132"/>
    </row>
    <row r="248" spans="2:52" ht="33" customHeight="1" thickBot="1" x14ac:dyDescent="0.3">
      <c r="B248" s="211"/>
      <c r="C248" s="132"/>
    </row>
    <row r="249" spans="2:52" ht="33" customHeight="1" thickTop="1" thickBot="1" x14ac:dyDescent="0.3">
      <c r="B249" s="211"/>
      <c r="C249" s="132"/>
      <c r="J249" s="757" t="s">
        <v>524</v>
      </c>
      <c r="K249" s="757"/>
      <c r="L249" s="757"/>
      <c r="M249" s="757"/>
      <c r="N249" s="757"/>
      <c r="O249" s="757"/>
      <c r="P249" s="757"/>
      <c r="Q249" s="757"/>
      <c r="R249" s="757"/>
      <c r="S249" s="757"/>
      <c r="T249" s="757"/>
      <c r="U249" s="757"/>
      <c r="V249" s="757"/>
      <c r="W249" s="757"/>
      <c r="X249" s="757"/>
      <c r="Y249" s="757"/>
      <c r="Z249" s="758" t="s">
        <v>528</v>
      </c>
      <c r="AA249" s="758"/>
      <c r="AB249" s="758"/>
      <c r="AC249" s="758"/>
      <c r="AD249" s="758"/>
      <c r="AE249" s="758"/>
      <c r="AF249" s="758"/>
      <c r="AG249" s="758"/>
      <c r="AH249" s="758"/>
      <c r="AI249" s="758"/>
      <c r="AJ249" s="758"/>
      <c r="AK249" s="758"/>
      <c r="AL249" s="758"/>
      <c r="AM249" s="758"/>
      <c r="AN249" s="758"/>
      <c r="AO249" s="758"/>
      <c r="AP249" s="758"/>
      <c r="AQ249" s="758"/>
      <c r="AR249" s="758"/>
      <c r="AS249" s="758"/>
      <c r="AT249" s="758"/>
      <c r="AU249" s="758"/>
      <c r="AV249" s="758"/>
      <c r="AW249" s="758"/>
      <c r="AX249" s="758"/>
      <c r="AY249" s="758"/>
      <c r="AZ249" s="758"/>
    </row>
    <row r="250" spans="2:52" ht="33" customHeight="1" thickTop="1" x14ac:dyDescent="0.25">
      <c r="B250" s="211"/>
      <c r="C250" s="132"/>
    </row>
    <row r="251" spans="2:52" ht="18" customHeight="1" thickBot="1" x14ac:dyDescent="0.3">
      <c r="B251" s="211"/>
      <c r="C251" s="132"/>
    </row>
    <row r="252" spans="2:52" ht="36.6" customHeight="1" thickTop="1" x14ac:dyDescent="0.25">
      <c r="B252" s="211"/>
      <c r="C252" s="132"/>
      <c r="J252" s="723" t="s">
        <v>395</v>
      </c>
      <c r="K252" s="724"/>
      <c r="L252" s="724"/>
      <c r="M252" s="724"/>
      <c r="N252" s="724"/>
      <c r="O252" s="724"/>
      <c r="P252" s="724"/>
      <c r="Q252" s="724"/>
      <c r="R252" s="724"/>
      <c r="S252" s="725"/>
      <c r="T252" s="721" t="s">
        <v>407</v>
      </c>
      <c r="U252" s="722"/>
      <c r="V252" s="722"/>
      <c r="W252" s="722"/>
      <c r="X252" s="722"/>
      <c r="Y252" s="722"/>
      <c r="Z252" s="722"/>
      <c r="AA252" s="722"/>
      <c r="AB252" s="722"/>
      <c r="AC252" s="722"/>
      <c r="AD252" s="722"/>
      <c r="AE252" s="721" t="s">
        <v>526</v>
      </c>
      <c r="AF252" s="722"/>
      <c r="AG252" s="722"/>
      <c r="AH252" s="722"/>
      <c r="AI252" s="722"/>
      <c r="AJ252" s="722"/>
      <c r="AK252" s="722"/>
      <c r="AL252" s="722"/>
      <c r="AM252" s="722"/>
      <c r="AN252" s="722"/>
      <c r="AO252" s="722"/>
      <c r="AP252" s="721" t="s">
        <v>527</v>
      </c>
      <c r="AQ252" s="722"/>
      <c r="AR252" s="722"/>
      <c r="AS252" s="722"/>
      <c r="AT252" s="722"/>
      <c r="AU252" s="722"/>
      <c r="AV252" s="722"/>
      <c r="AW252" s="722"/>
      <c r="AX252" s="722"/>
      <c r="AY252" s="722"/>
      <c r="AZ252" s="760"/>
    </row>
    <row r="253" spans="2:52" s="212" customFormat="1" ht="46.15" customHeight="1" x14ac:dyDescent="0.25">
      <c r="B253" s="213"/>
      <c r="C253" s="134"/>
      <c r="J253" s="742" t="s">
        <v>383</v>
      </c>
      <c r="K253" s="743"/>
      <c r="L253" s="743"/>
      <c r="M253" s="743"/>
      <c r="N253" s="743"/>
      <c r="O253" s="743"/>
      <c r="P253" s="743"/>
      <c r="Q253" s="743"/>
      <c r="R253" s="743"/>
      <c r="S253" s="744"/>
      <c r="T253" s="742" t="s">
        <v>81</v>
      </c>
      <c r="U253" s="743"/>
      <c r="V253" s="743"/>
      <c r="W253" s="743"/>
      <c r="X253" s="743"/>
      <c r="Y253" s="743"/>
      <c r="Z253" s="743"/>
      <c r="AA253" s="743"/>
      <c r="AB253" s="743"/>
      <c r="AC253" s="743"/>
      <c r="AD253" s="744"/>
      <c r="AE253" s="731" t="s">
        <v>531</v>
      </c>
      <c r="AF253" s="732"/>
      <c r="AG253" s="732"/>
      <c r="AH253" s="732"/>
      <c r="AI253" s="732"/>
      <c r="AJ253" s="732"/>
      <c r="AK253" s="732"/>
      <c r="AL253" s="732"/>
      <c r="AM253" s="732"/>
      <c r="AN253" s="732"/>
      <c r="AO253" s="733"/>
      <c r="AP253" s="729" t="s">
        <v>530</v>
      </c>
      <c r="AQ253" s="730"/>
      <c r="AR253" s="730"/>
      <c r="AS253" s="730"/>
      <c r="AT253" s="730"/>
      <c r="AU253" s="730"/>
      <c r="AV253" s="730"/>
      <c r="AW253" s="730"/>
      <c r="AX253" s="730"/>
      <c r="AY253" s="730"/>
      <c r="AZ253" s="734"/>
    </row>
    <row r="254" spans="2:52" s="212" customFormat="1" ht="46.15" customHeight="1" x14ac:dyDescent="0.25">
      <c r="B254" s="213"/>
      <c r="C254" s="134"/>
      <c r="J254" s="742"/>
      <c r="K254" s="743"/>
      <c r="L254" s="743"/>
      <c r="M254" s="743"/>
      <c r="N254" s="743"/>
      <c r="O254" s="743"/>
      <c r="P254" s="743"/>
      <c r="Q254" s="743"/>
      <c r="R254" s="743"/>
      <c r="S254" s="744"/>
      <c r="T254" s="742" t="s">
        <v>726</v>
      </c>
      <c r="U254" s="743"/>
      <c r="V254" s="743"/>
      <c r="W254" s="743"/>
      <c r="X254" s="743"/>
      <c r="Y254" s="743"/>
      <c r="Z254" s="743"/>
      <c r="AA254" s="743"/>
      <c r="AB254" s="743"/>
      <c r="AC254" s="743"/>
      <c r="AD254" s="744"/>
      <c r="AE254" s="731" t="s">
        <v>531</v>
      </c>
      <c r="AF254" s="732"/>
      <c r="AG254" s="732"/>
      <c r="AH254" s="732"/>
      <c r="AI254" s="732"/>
      <c r="AJ254" s="732"/>
      <c r="AK254" s="732"/>
      <c r="AL254" s="732"/>
      <c r="AM254" s="732"/>
      <c r="AN254" s="732"/>
      <c r="AO254" s="733"/>
      <c r="AP254" s="729" t="s">
        <v>530</v>
      </c>
      <c r="AQ254" s="730"/>
      <c r="AR254" s="730"/>
      <c r="AS254" s="730"/>
      <c r="AT254" s="730"/>
      <c r="AU254" s="730"/>
      <c r="AV254" s="730"/>
      <c r="AW254" s="730"/>
      <c r="AX254" s="730"/>
      <c r="AY254" s="730"/>
      <c r="AZ254" s="734"/>
    </row>
    <row r="255" spans="2:52" s="212" customFormat="1" ht="46.15" customHeight="1" x14ac:dyDescent="0.25">
      <c r="B255" s="213"/>
      <c r="C255" s="134"/>
      <c r="J255" s="742"/>
      <c r="K255" s="743"/>
      <c r="L255" s="743"/>
      <c r="M255" s="743"/>
      <c r="N255" s="743"/>
      <c r="O255" s="743"/>
      <c r="P255" s="743"/>
      <c r="Q255" s="743"/>
      <c r="R255" s="743"/>
      <c r="S255" s="744"/>
      <c r="T255" s="742" t="s">
        <v>525</v>
      </c>
      <c r="U255" s="743"/>
      <c r="V255" s="743"/>
      <c r="W255" s="743"/>
      <c r="X255" s="743"/>
      <c r="Y255" s="743"/>
      <c r="Z255" s="743"/>
      <c r="AA255" s="743"/>
      <c r="AB255" s="743"/>
      <c r="AC255" s="743"/>
      <c r="AD255" s="744"/>
      <c r="AE255" s="731" t="s">
        <v>531</v>
      </c>
      <c r="AF255" s="732"/>
      <c r="AG255" s="732"/>
      <c r="AH255" s="732"/>
      <c r="AI255" s="732"/>
      <c r="AJ255" s="732"/>
      <c r="AK255" s="732"/>
      <c r="AL255" s="732"/>
      <c r="AM255" s="732"/>
      <c r="AN255" s="732"/>
      <c r="AO255" s="733"/>
      <c r="AP255" s="729" t="s">
        <v>530</v>
      </c>
      <c r="AQ255" s="730"/>
      <c r="AR255" s="730"/>
      <c r="AS255" s="730"/>
      <c r="AT255" s="730"/>
      <c r="AU255" s="730"/>
      <c r="AV255" s="730"/>
      <c r="AW255" s="730"/>
      <c r="AX255" s="730"/>
      <c r="AY255" s="730"/>
      <c r="AZ255" s="734"/>
    </row>
    <row r="256" spans="2:52" s="212" customFormat="1" ht="46.15" customHeight="1" thickBot="1" x14ac:dyDescent="0.3">
      <c r="B256" s="213"/>
      <c r="C256" s="134"/>
      <c r="J256" s="752"/>
      <c r="K256" s="753"/>
      <c r="L256" s="753"/>
      <c r="M256" s="753"/>
      <c r="N256" s="753"/>
      <c r="O256" s="753"/>
      <c r="P256" s="753"/>
      <c r="Q256" s="753"/>
      <c r="R256" s="753"/>
      <c r="S256" s="754"/>
      <c r="T256" s="742" t="s">
        <v>400</v>
      </c>
      <c r="U256" s="743"/>
      <c r="V256" s="743"/>
      <c r="W256" s="743"/>
      <c r="X256" s="743"/>
      <c r="Y256" s="743"/>
      <c r="Z256" s="743"/>
      <c r="AA256" s="743"/>
      <c r="AB256" s="743"/>
      <c r="AC256" s="743"/>
      <c r="AD256" s="744"/>
      <c r="AE256" s="731" t="s">
        <v>531</v>
      </c>
      <c r="AF256" s="732"/>
      <c r="AG256" s="732"/>
      <c r="AH256" s="732"/>
      <c r="AI256" s="732"/>
      <c r="AJ256" s="732"/>
      <c r="AK256" s="732"/>
      <c r="AL256" s="732"/>
      <c r="AM256" s="732"/>
      <c r="AN256" s="732"/>
      <c r="AO256" s="733"/>
      <c r="AP256" s="729" t="s">
        <v>530</v>
      </c>
      <c r="AQ256" s="730"/>
      <c r="AR256" s="730"/>
      <c r="AS256" s="730"/>
      <c r="AT256" s="730"/>
      <c r="AU256" s="730"/>
      <c r="AV256" s="730"/>
      <c r="AW256" s="730"/>
      <c r="AX256" s="730"/>
      <c r="AY256" s="730"/>
      <c r="AZ256" s="734"/>
    </row>
    <row r="257" spans="2:52" s="212" customFormat="1" ht="46.15" customHeight="1" thickTop="1" x14ac:dyDescent="0.25">
      <c r="B257" s="213"/>
      <c r="C257" s="134"/>
      <c r="J257" s="726" t="s">
        <v>119</v>
      </c>
      <c r="K257" s="727"/>
      <c r="L257" s="727"/>
      <c r="M257" s="727"/>
      <c r="N257" s="727"/>
      <c r="O257" s="727"/>
      <c r="P257" s="727"/>
      <c r="Q257" s="727"/>
      <c r="R257" s="727"/>
      <c r="S257" s="728"/>
      <c r="T257" s="726" t="s">
        <v>81</v>
      </c>
      <c r="U257" s="727"/>
      <c r="V257" s="727"/>
      <c r="W257" s="727"/>
      <c r="X257" s="727"/>
      <c r="Y257" s="727"/>
      <c r="Z257" s="727"/>
      <c r="AA257" s="727"/>
      <c r="AB257" s="727"/>
      <c r="AC257" s="727"/>
      <c r="AD257" s="728"/>
      <c r="AE257" s="740" t="s">
        <v>530</v>
      </c>
      <c r="AF257" s="741"/>
      <c r="AG257" s="741"/>
      <c r="AH257" s="741"/>
      <c r="AI257" s="741"/>
      <c r="AJ257" s="741"/>
      <c r="AK257" s="741"/>
      <c r="AL257" s="741"/>
      <c r="AM257" s="741"/>
      <c r="AN257" s="741"/>
      <c r="AO257" s="741"/>
      <c r="AP257" s="735" t="s">
        <v>531</v>
      </c>
      <c r="AQ257" s="736"/>
      <c r="AR257" s="736"/>
      <c r="AS257" s="736"/>
      <c r="AT257" s="736"/>
      <c r="AU257" s="736"/>
      <c r="AV257" s="736"/>
      <c r="AW257" s="736"/>
      <c r="AX257" s="736"/>
      <c r="AY257" s="736"/>
      <c r="AZ257" s="737"/>
    </row>
    <row r="258" spans="2:52" s="212" customFormat="1" ht="46.15" customHeight="1" x14ac:dyDescent="0.25">
      <c r="B258" s="213"/>
      <c r="C258" s="134"/>
      <c r="J258" s="742"/>
      <c r="K258" s="743"/>
      <c r="L258" s="743"/>
      <c r="M258" s="743"/>
      <c r="N258" s="743"/>
      <c r="O258" s="743"/>
      <c r="P258" s="743"/>
      <c r="Q258" s="743"/>
      <c r="R258" s="743"/>
      <c r="S258" s="744"/>
      <c r="T258" s="742" t="s">
        <v>726</v>
      </c>
      <c r="U258" s="743"/>
      <c r="V258" s="743"/>
      <c r="W258" s="743"/>
      <c r="X258" s="743"/>
      <c r="Y258" s="743"/>
      <c r="Z258" s="743"/>
      <c r="AA258" s="743"/>
      <c r="AB258" s="743"/>
      <c r="AC258" s="743"/>
      <c r="AD258" s="744"/>
      <c r="AE258" s="731" t="s">
        <v>531</v>
      </c>
      <c r="AF258" s="732"/>
      <c r="AG258" s="732"/>
      <c r="AH258" s="732"/>
      <c r="AI258" s="732"/>
      <c r="AJ258" s="732"/>
      <c r="AK258" s="732"/>
      <c r="AL258" s="732"/>
      <c r="AM258" s="732"/>
      <c r="AN258" s="732"/>
      <c r="AO258" s="733"/>
      <c r="AP258" s="729" t="s">
        <v>530</v>
      </c>
      <c r="AQ258" s="730"/>
      <c r="AR258" s="730"/>
      <c r="AS258" s="730"/>
      <c r="AT258" s="730"/>
      <c r="AU258" s="730"/>
      <c r="AV258" s="730"/>
      <c r="AW258" s="730"/>
      <c r="AX258" s="730"/>
      <c r="AY258" s="730"/>
      <c r="AZ258" s="734"/>
    </row>
    <row r="259" spans="2:52" s="212" customFormat="1" ht="46.15" customHeight="1" x14ac:dyDescent="0.25">
      <c r="B259" s="213"/>
      <c r="C259" s="134"/>
      <c r="J259" s="742"/>
      <c r="K259" s="743"/>
      <c r="L259" s="743"/>
      <c r="M259" s="743"/>
      <c r="N259" s="743"/>
      <c r="O259" s="743"/>
      <c r="P259" s="743"/>
      <c r="Q259" s="743"/>
      <c r="R259" s="743"/>
      <c r="S259" s="744"/>
      <c r="T259" s="742" t="s">
        <v>525</v>
      </c>
      <c r="U259" s="743"/>
      <c r="V259" s="743"/>
      <c r="W259" s="743"/>
      <c r="X259" s="743"/>
      <c r="Y259" s="743"/>
      <c r="Z259" s="743"/>
      <c r="AA259" s="743"/>
      <c r="AB259" s="743"/>
      <c r="AC259" s="743"/>
      <c r="AD259" s="744"/>
      <c r="AE259" s="729" t="s">
        <v>530</v>
      </c>
      <c r="AF259" s="730"/>
      <c r="AG259" s="730"/>
      <c r="AH259" s="730"/>
      <c r="AI259" s="730"/>
      <c r="AJ259" s="730"/>
      <c r="AK259" s="730"/>
      <c r="AL259" s="730"/>
      <c r="AM259" s="730"/>
      <c r="AN259" s="730"/>
      <c r="AO259" s="734"/>
      <c r="AP259" s="729" t="s">
        <v>530</v>
      </c>
      <c r="AQ259" s="730"/>
      <c r="AR259" s="730"/>
      <c r="AS259" s="730"/>
      <c r="AT259" s="730"/>
      <c r="AU259" s="730"/>
      <c r="AV259" s="730"/>
      <c r="AW259" s="730"/>
      <c r="AX259" s="730"/>
      <c r="AY259" s="730"/>
      <c r="AZ259" s="734"/>
    </row>
    <row r="260" spans="2:52" s="212" customFormat="1" ht="46.15" customHeight="1" thickBot="1" x14ac:dyDescent="0.3">
      <c r="B260" s="213"/>
      <c r="C260" s="134"/>
      <c r="J260" s="752"/>
      <c r="K260" s="753"/>
      <c r="L260" s="753"/>
      <c r="M260" s="753"/>
      <c r="N260" s="753"/>
      <c r="O260" s="753"/>
      <c r="P260" s="753"/>
      <c r="Q260" s="753"/>
      <c r="R260" s="753"/>
      <c r="S260" s="754"/>
      <c r="T260" s="742" t="s">
        <v>400</v>
      </c>
      <c r="U260" s="743"/>
      <c r="V260" s="743"/>
      <c r="W260" s="743"/>
      <c r="X260" s="743"/>
      <c r="Y260" s="743"/>
      <c r="Z260" s="743"/>
      <c r="AA260" s="743"/>
      <c r="AB260" s="743"/>
      <c r="AC260" s="743"/>
      <c r="AD260" s="744"/>
      <c r="AE260" s="731" t="s">
        <v>531</v>
      </c>
      <c r="AF260" s="732"/>
      <c r="AG260" s="732"/>
      <c r="AH260" s="732"/>
      <c r="AI260" s="732"/>
      <c r="AJ260" s="732"/>
      <c r="AK260" s="732"/>
      <c r="AL260" s="732"/>
      <c r="AM260" s="732"/>
      <c r="AN260" s="732"/>
      <c r="AO260" s="733"/>
      <c r="AP260" s="729" t="s">
        <v>530</v>
      </c>
      <c r="AQ260" s="730"/>
      <c r="AR260" s="730"/>
      <c r="AS260" s="730"/>
      <c r="AT260" s="730"/>
      <c r="AU260" s="730"/>
      <c r="AV260" s="730"/>
      <c r="AW260" s="730"/>
      <c r="AX260" s="730"/>
      <c r="AY260" s="730"/>
      <c r="AZ260" s="734"/>
    </row>
    <row r="261" spans="2:52" s="212" customFormat="1" ht="46.15" customHeight="1" thickTop="1" x14ac:dyDescent="0.25">
      <c r="B261" s="213"/>
      <c r="C261" s="134"/>
      <c r="J261" s="726" t="s">
        <v>126</v>
      </c>
      <c r="K261" s="727"/>
      <c r="L261" s="727"/>
      <c r="M261" s="727"/>
      <c r="N261" s="727"/>
      <c r="O261" s="727"/>
      <c r="P261" s="727"/>
      <c r="Q261" s="727"/>
      <c r="R261" s="727"/>
      <c r="S261" s="728"/>
      <c r="T261" s="726" t="s">
        <v>81</v>
      </c>
      <c r="U261" s="727"/>
      <c r="V261" s="727"/>
      <c r="W261" s="727"/>
      <c r="X261" s="727"/>
      <c r="Y261" s="727"/>
      <c r="Z261" s="727"/>
      <c r="AA261" s="727"/>
      <c r="AB261" s="727"/>
      <c r="AC261" s="727"/>
      <c r="AD261" s="728"/>
      <c r="AE261" s="735" t="s">
        <v>531</v>
      </c>
      <c r="AF261" s="736"/>
      <c r="AG261" s="736"/>
      <c r="AH261" s="736"/>
      <c r="AI261" s="736"/>
      <c r="AJ261" s="736"/>
      <c r="AK261" s="736"/>
      <c r="AL261" s="736"/>
      <c r="AM261" s="736"/>
      <c r="AN261" s="736"/>
      <c r="AO261" s="737"/>
      <c r="AP261" s="740" t="s">
        <v>530</v>
      </c>
      <c r="AQ261" s="741"/>
      <c r="AR261" s="741"/>
      <c r="AS261" s="741"/>
      <c r="AT261" s="741"/>
      <c r="AU261" s="741"/>
      <c r="AV261" s="741"/>
      <c r="AW261" s="741"/>
      <c r="AX261" s="741"/>
      <c r="AY261" s="741"/>
      <c r="AZ261" s="755"/>
    </row>
    <row r="262" spans="2:52" s="212" customFormat="1" ht="46.15" customHeight="1" x14ac:dyDescent="0.25">
      <c r="B262" s="213"/>
      <c r="C262" s="134"/>
      <c r="J262" s="742"/>
      <c r="K262" s="743"/>
      <c r="L262" s="743"/>
      <c r="M262" s="743"/>
      <c r="N262" s="743"/>
      <c r="O262" s="743"/>
      <c r="P262" s="743"/>
      <c r="Q262" s="743"/>
      <c r="R262" s="743"/>
      <c r="S262" s="744"/>
      <c r="T262" s="742" t="s">
        <v>726</v>
      </c>
      <c r="U262" s="743"/>
      <c r="V262" s="743"/>
      <c r="W262" s="743"/>
      <c r="X262" s="743"/>
      <c r="Y262" s="743"/>
      <c r="Z262" s="743"/>
      <c r="AA262" s="743"/>
      <c r="AB262" s="743"/>
      <c r="AC262" s="743"/>
      <c r="AD262" s="744"/>
      <c r="AE262" s="729" t="s">
        <v>530</v>
      </c>
      <c r="AF262" s="730"/>
      <c r="AG262" s="730"/>
      <c r="AH262" s="730"/>
      <c r="AI262" s="730"/>
      <c r="AJ262" s="730"/>
      <c r="AK262" s="730"/>
      <c r="AL262" s="730"/>
      <c r="AM262" s="730"/>
      <c r="AN262" s="730"/>
      <c r="AO262" s="730"/>
      <c r="AP262" s="731" t="s">
        <v>531</v>
      </c>
      <c r="AQ262" s="732"/>
      <c r="AR262" s="732"/>
      <c r="AS262" s="732"/>
      <c r="AT262" s="732"/>
      <c r="AU262" s="732"/>
      <c r="AV262" s="732"/>
      <c r="AW262" s="732"/>
      <c r="AX262" s="732"/>
      <c r="AY262" s="732"/>
      <c r="AZ262" s="733"/>
    </row>
    <row r="263" spans="2:52" s="212" customFormat="1" ht="46.15" customHeight="1" x14ac:dyDescent="0.25">
      <c r="B263" s="213"/>
      <c r="C263" s="134"/>
      <c r="J263" s="742"/>
      <c r="K263" s="743"/>
      <c r="L263" s="743"/>
      <c r="M263" s="743"/>
      <c r="N263" s="743"/>
      <c r="O263" s="743"/>
      <c r="P263" s="743"/>
      <c r="Q263" s="743"/>
      <c r="R263" s="743"/>
      <c r="S263" s="744"/>
      <c r="T263" s="742" t="s">
        <v>525</v>
      </c>
      <c r="U263" s="743"/>
      <c r="V263" s="743"/>
      <c r="W263" s="743"/>
      <c r="X263" s="743"/>
      <c r="Y263" s="743"/>
      <c r="Z263" s="743"/>
      <c r="AA263" s="743"/>
      <c r="AB263" s="743"/>
      <c r="AC263" s="743"/>
      <c r="AD263" s="744"/>
      <c r="AE263" s="729" t="s">
        <v>530</v>
      </c>
      <c r="AF263" s="730"/>
      <c r="AG263" s="730"/>
      <c r="AH263" s="730"/>
      <c r="AI263" s="730"/>
      <c r="AJ263" s="730"/>
      <c r="AK263" s="730"/>
      <c r="AL263" s="730"/>
      <c r="AM263" s="730"/>
      <c r="AN263" s="730"/>
      <c r="AO263" s="730"/>
      <c r="AP263" s="729" t="s">
        <v>530</v>
      </c>
      <c r="AQ263" s="730"/>
      <c r="AR263" s="730"/>
      <c r="AS263" s="730"/>
      <c r="AT263" s="730"/>
      <c r="AU263" s="730"/>
      <c r="AV263" s="730"/>
      <c r="AW263" s="730"/>
      <c r="AX263" s="730"/>
      <c r="AY263" s="730"/>
      <c r="AZ263" s="734"/>
    </row>
    <row r="264" spans="2:52" s="212" customFormat="1" ht="46.15" customHeight="1" thickBot="1" x14ac:dyDescent="0.3">
      <c r="B264" s="213"/>
      <c r="C264" s="134"/>
      <c r="J264" s="752"/>
      <c r="K264" s="753"/>
      <c r="L264" s="753"/>
      <c r="M264" s="753"/>
      <c r="N264" s="753"/>
      <c r="O264" s="753"/>
      <c r="P264" s="753"/>
      <c r="Q264" s="753"/>
      <c r="R264" s="753"/>
      <c r="S264" s="754"/>
      <c r="T264" s="752" t="s">
        <v>400</v>
      </c>
      <c r="U264" s="753"/>
      <c r="V264" s="753"/>
      <c r="W264" s="753"/>
      <c r="X264" s="753"/>
      <c r="Y264" s="753"/>
      <c r="Z264" s="753"/>
      <c r="AA264" s="753"/>
      <c r="AB264" s="753"/>
      <c r="AC264" s="753"/>
      <c r="AD264" s="754"/>
      <c r="AE264" s="738" t="s">
        <v>530</v>
      </c>
      <c r="AF264" s="739"/>
      <c r="AG264" s="739"/>
      <c r="AH264" s="739"/>
      <c r="AI264" s="739"/>
      <c r="AJ264" s="739"/>
      <c r="AK264" s="739"/>
      <c r="AL264" s="739"/>
      <c r="AM264" s="739"/>
      <c r="AN264" s="739"/>
      <c r="AO264" s="739"/>
      <c r="AP264" s="745" t="s">
        <v>531</v>
      </c>
      <c r="AQ264" s="746"/>
      <c r="AR264" s="746"/>
      <c r="AS264" s="746"/>
      <c r="AT264" s="746"/>
      <c r="AU264" s="746"/>
      <c r="AV264" s="746"/>
      <c r="AW264" s="746"/>
      <c r="AX264" s="746"/>
      <c r="AY264" s="746"/>
      <c r="AZ264" s="747"/>
    </row>
    <row r="265" spans="2:52" s="212" customFormat="1" ht="46.15" customHeight="1" thickTop="1" x14ac:dyDescent="0.25">
      <c r="B265" s="213"/>
      <c r="C265" s="134"/>
      <c r="J265" s="726" t="s">
        <v>127</v>
      </c>
      <c r="K265" s="727"/>
      <c r="L265" s="727"/>
      <c r="M265" s="727"/>
      <c r="N265" s="727"/>
      <c r="O265" s="727"/>
      <c r="P265" s="727"/>
      <c r="Q265" s="727"/>
      <c r="R265" s="727"/>
      <c r="S265" s="728"/>
      <c r="T265" s="726" t="s">
        <v>81</v>
      </c>
      <c r="U265" s="727"/>
      <c r="V265" s="727"/>
      <c r="W265" s="727"/>
      <c r="X265" s="727"/>
      <c r="Y265" s="727"/>
      <c r="Z265" s="727"/>
      <c r="AA265" s="727"/>
      <c r="AB265" s="727"/>
      <c r="AC265" s="727"/>
      <c r="AD265" s="728"/>
      <c r="AE265" s="740" t="s">
        <v>530</v>
      </c>
      <c r="AF265" s="741"/>
      <c r="AG265" s="741"/>
      <c r="AH265" s="741"/>
      <c r="AI265" s="741"/>
      <c r="AJ265" s="741"/>
      <c r="AK265" s="741"/>
      <c r="AL265" s="741"/>
      <c r="AM265" s="741"/>
      <c r="AN265" s="741"/>
      <c r="AO265" s="741"/>
      <c r="AP265" s="735" t="s">
        <v>529</v>
      </c>
      <c r="AQ265" s="736"/>
      <c r="AR265" s="736"/>
      <c r="AS265" s="736"/>
      <c r="AT265" s="736"/>
      <c r="AU265" s="736"/>
      <c r="AV265" s="736"/>
      <c r="AW265" s="736"/>
      <c r="AX265" s="736"/>
      <c r="AY265" s="736"/>
      <c r="AZ265" s="737"/>
    </row>
    <row r="266" spans="2:52" s="212" customFormat="1" ht="46.15" customHeight="1" x14ac:dyDescent="0.25">
      <c r="J266" s="742"/>
      <c r="K266" s="743"/>
      <c r="L266" s="743"/>
      <c r="M266" s="743"/>
      <c r="N266" s="743"/>
      <c r="O266" s="743"/>
      <c r="P266" s="743"/>
      <c r="Q266" s="743"/>
      <c r="R266" s="743"/>
      <c r="S266" s="744"/>
      <c r="T266" s="742" t="s">
        <v>726</v>
      </c>
      <c r="U266" s="743"/>
      <c r="V266" s="743"/>
      <c r="W266" s="743"/>
      <c r="X266" s="743"/>
      <c r="Y266" s="743"/>
      <c r="Z266" s="743"/>
      <c r="AA266" s="743"/>
      <c r="AB266" s="743"/>
      <c r="AC266" s="743"/>
      <c r="AD266" s="744"/>
      <c r="AE266" s="729" t="s">
        <v>530</v>
      </c>
      <c r="AF266" s="730"/>
      <c r="AG266" s="730"/>
      <c r="AH266" s="730"/>
      <c r="AI266" s="730"/>
      <c r="AJ266" s="730"/>
      <c r="AK266" s="730"/>
      <c r="AL266" s="730"/>
      <c r="AM266" s="730"/>
      <c r="AN266" s="730"/>
      <c r="AO266" s="730"/>
      <c r="AP266" s="731" t="s">
        <v>531</v>
      </c>
      <c r="AQ266" s="732"/>
      <c r="AR266" s="732"/>
      <c r="AS266" s="732"/>
      <c r="AT266" s="732"/>
      <c r="AU266" s="732"/>
      <c r="AV266" s="732"/>
      <c r="AW266" s="732"/>
      <c r="AX266" s="732"/>
      <c r="AY266" s="732"/>
      <c r="AZ266" s="733"/>
    </row>
    <row r="267" spans="2:52" s="212" customFormat="1" ht="46.15" customHeight="1" x14ac:dyDescent="0.25">
      <c r="J267" s="742"/>
      <c r="K267" s="743"/>
      <c r="L267" s="743"/>
      <c r="M267" s="743"/>
      <c r="N267" s="743"/>
      <c r="O267" s="743"/>
      <c r="P267" s="743"/>
      <c r="Q267" s="743"/>
      <c r="R267" s="743"/>
      <c r="S267" s="744"/>
      <c r="T267" s="742" t="s">
        <v>525</v>
      </c>
      <c r="U267" s="743"/>
      <c r="V267" s="743"/>
      <c r="W267" s="743"/>
      <c r="X267" s="743"/>
      <c r="Y267" s="743"/>
      <c r="Z267" s="743"/>
      <c r="AA267" s="743"/>
      <c r="AB267" s="743"/>
      <c r="AC267" s="743"/>
      <c r="AD267" s="744"/>
      <c r="AE267" s="729" t="s">
        <v>530</v>
      </c>
      <c r="AF267" s="730"/>
      <c r="AG267" s="730"/>
      <c r="AH267" s="730"/>
      <c r="AI267" s="730"/>
      <c r="AJ267" s="730"/>
      <c r="AK267" s="730"/>
      <c r="AL267" s="730"/>
      <c r="AM267" s="730"/>
      <c r="AN267" s="730"/>
      <c r="AO267" s="730"/>
      <c r="AP267" s="731" t="s">
        <v>531</v>
      </c>
      <c r="AQ267" s="732"/>
      <c r="AR267" s="732"/>
      <c r="AS267" s="732"/>
      <c r="AT267" s="732"/>
      <c r="AU267" s="732"/>
      <c r="AV267" s="732"/>
      <c r="AW267" s="732"/>
      <c r="AX267" s="732"/>
      <c r="AY267" s="732"/>
      <c r="AZ267" s="733"/>
    </row>
    <row r="268" spans="2:52" ht="39" customHeight="1" thickBot="1" x14ac:dyDescent="0.3">
      <c r="J268" s="752"/>
      <c r="K268" s="753"/>
      <c r="L268" s="753"/>
      <c r="M268" s="753"/>
      <c r="N268" s="753"/>
      <c r="O268" s="753"/>
      <c r="P268" s="753"/>
      <c r="Q268" s="753"/>
      <c r="R268" s="753"/>
      <c r="S268" s="754"/>
      <c r="T268" s="752" t="s">
        <v>400</v>
      </c>
      <c r="U268" s="753"/>
      <c r="V268" s="753"/>
      <c r="W268" s="753"/>
      <c r="X268" s="753"/>
      <c r="Y268" s="753"/>
      <c r="Z268" s="753"/>
      <c r="AA268" s="753"/>
      <c r="AB268" s="753"/>
      <c r="AC268" s="753"/>
      <c r="AD268" s="754"/>
      <c r="AE268" s="738" t="s">
        <v>530</v>
      </c>
      <c r="AF268" s="739"/>
      <c r="AG268" s="739"/>
      <c r="AH268" s="739"/>
      <c r="AI268" s="739"/>
      <c r="AJ268" s="739"/>
      <c r="AK268" s="739"/>
      <c r="AL268" s="739"/>
      <c r="AM268" s="739"/>
      <c r="AN268" s="739"/>
      <c r="AO268" s="739"/>
      <c r="AP268" s="745" t="s">
        <v>531</v>
      </c>
      <c r="AQ268" s="746"/>
      <c r="AR268" s="746"/>
      <c r="AS268" s="746"/>
      <c r="AT268" s="746"/>
      <c r="AU268" s="746"/>
      <c r="AV268" s="746"/>
      <c r="AW268" s="746"/>
      <c r="AX268" s="746"/>
      <c r="AY268" s="746"/>
      <c r="AZ268" s="747"/>
    </row>
    <row r="269" spans="2:52" ht="37.9" customHeight="1" thickTop="1" x14ac:dyDescent="0.25">
      <c r="R269" s="212"/>
      <c r="S269" s="212"/>
      <c r="T269" s="212"/>
      <c r="U269" s="212"/>
      <c r="V269" s="212"/>
    </row>
    <row r="270" spans="2:52" ht="37.9" customHeight="1" x14ac:dyDescent="0.25">
      <c r="R270" s="212"/>
      <c r="S270" s="212"/>
      <c r="T270" s="212"/>
      <c r="U270" s="212"/>
      <c r="V270" s="212"/>
    </row>
    <row r="271" spans="2:52" ht="37.9" customHeight="1" x14ac:dyDescent="0.25">
      <c r="R271" s="212"/>
      <c r="S271" s="212"/>
      <c r="T271" s="212"/>
      <c r="U271" s="212"/>
      <c r="V271" s="212"/>
    </row>
    <row r="272" spans="2:52" ht="37.9" customHeight="1" x14ac:dyDescent="0.25">
      <c r="R272" s="212"/>
      <c r="S272" s="212"/>
      <c r="T272" s="212"/>
      <c r="U272" s="212"/>
      <c r="V272" s="212"/>
    </row>
    <row r="273" spans="5:56" ht="37.9" customHeight="1" x14ac:dyDescent="0.25">
      <c r="R273" s="212"/>
      <c r="S273" s="212"/>
      <c r="T273" s="212"/>
      <c r="U273" s="212"/>
      <c r="V273" s="212"/>
    </row>
    <row r="274" spans="5:56" ht="37.9" customHeight="1" x14ac:dyDescent="0.25">
      <c r="R274" s="212"/>
      <c r="S274" s="212"/>
      <c r="T274" s="212"/>
      <c r="U274" s="212"/>
      <c r="V274" s="212"/>
    </row>
    <row r="280" spans="5:56" ht="18" customHeight="1" x14ac:dyDescent="0.25">
      <c r="E280" s="701" t="s">
        <v>214</v>
      </c>
      <c r="F280" s="701"/>
      <c r="G280" s="701"/>
      <c r="H280" s="701"/>
      <c r="I280" s="701"/>
      <c r="J280" s="701"/>
      <c r="K280" s="701"/>
      <c r="L280" s="701"/>
      <c r="M280" s="701"/>
      <c r="N280" s="701"/>
      <c r="O280" s="701"/>
      <c r="P280" s="701"/>
      <c r="Q280" s="701"/>
      <c r="R280" s="701"/>
      <c r="S280" s="701"/>
      <c r="T280" s="701"/>
      <c r="U280" s="701"/>
      <c r="V280" s="701"/>
      <c r="W280" s="701"/>
      <c r="X280" s="701"/>
      <c r="Y280" s="701"/>
      <c r="Z280" s="701"/>
      <c r="AA280" s="701"/>
      <c r="AB280" s="701"/>
      <c r="AC280" s="701"/>
      <c r="AD280" s="701"/>
      <c r="AE280" s="701"/>
      <c r="AF280" s="701"/>
      <c r="AG280" s="701"/>
      <c r="AH280" s="701"/>
      <c r="AI280" s="701"/>
      <c r="AJ280" s="701"/>
      <c r="AK280" s="701"/>
      <c r="AL280" s="701"/>
      <c r="AM280" s="701"/>
      <c r="AN280" s="701"/>
      <c r="AO280" s="701"/>
      <c r="AP280" s="701"/>
      <c r="AQ280" s="701"/>
      <c r="AR280" s="701"/>
      <c r="AS280" s="701"/>
      <c r="AT280" s="701"/>
      <c r="AU280" s="701"/>
      <c r="AV280" s="701"/>
      <c r="AW280" s="701"/>
      <c r="AX280" s="701"/>
      <c r="AY280" s="701"/>
      <c r="AZ280" s="701"/>
      <c r="BA280" s="701"/>
      <c r="BB280" s="701"/>
      <c r="BC280" s="701"/>
      <c r="BD280" s="701"/>
    </row>
    <row r="282" spans="5:56" ht="33" customHeight="1" x14ac:dyDescent="0.25">
      <c r="E282" s="756" t="s">
        <v>532</v>
      </c>
      <c r="F282" s="756"/>
      <c r="G282" s="756"/>
      <c r="H282" s="756"/>
      <c r="I282" s="756"/>
      <c r="J282" s="756"/>
      <c r="K282" s="756"/>
      <c r="L282" s="756"/>
      <c r="M282" s="756"/>
      <c r="N282" s="759" t="s">
        <v>533</v>
      </c>
      <c r="O282" s="759"/>
      <c r="P282" s="759"/>
      <c r="Q282" s="759"/>
      <c r="R282" s="759"/>
      <c r="S282" s="759"/>
      <c r="T282" s="759"/>
      <c r="U282" s="759"/>
      <c r="V282" s="759"/>
      <c r="W282" s="759"/>
      <c r="X282" s="759"/>
      <c r="Y282" s="759"/>
      <c r="Z282" s="759"/>
      <c r="AA282" s="759"/>
      <c r="AB282" s="759"/>
      <c r="AC282" s="759"/>
      <c r="AD282" s="759"/>
      <c r="AE282" s="759"/>
      <c r="AF282" s="759"/>
      <c r="AG282" s="759"/>
      <c r="AH282" s="759"/>
      <c r="AI282" s="759"/>
      <c r="AJ282" s="759"/>
      <c r="AK282" s="759"/>
      <c r="AL282" s="759"/>
      <c r="AM282" s="759"/>
      <c r="AN282" s="759"/>
      <c r="AO282" s="759"/>
      <c r="AP282" s="759"/>
      <c r="AQ282" s="759"/>
      <c r="AR282" s="759"/>
      <c r="AS282" s="759"/>
      <c r="AT282" s="759"/>
      <c r="AU282" s="759"/>
      <c r="AV282" s="759"/>
      <c r="AW282" s="759"/>
      <c r="AX282" s="759"/>
      <c r="AY282" s="759"/>
      <c r="AZ282" s="759"/>
      <c r="BA282" s="759"/>
      <c r="BB282" s="759"/>
      <c r="BC282" s="759"/>
      <c r="BD282" s="759"/>
    </row>
    <row r="283" spans="5:56" ht="33" customHeight="1" x14ac:dyDescent="0.25">
      <c r="E283" s="756" t="s">
        <v>534</v>
      </c>
      <c r="F283" s="756"/>
      <c r="G283" s="756"/>
      <c r="H283" s="756"/>
      <c r="I283" s="756"/>
      <c r="J283" s="756"/>
      <c r="K283" s="756"/>
      <c r="L283" s="756"/>
      <c r="M283" s="756"/>
      <c r="N283" s="759" t="s">
        <v>535</v>
      </c>
      <c r="O283" s="759"/>
      <c r="P283" s="759"/>
      <c r="Q283" s="759"/>
      <c r="R283" s="759"/>
      <c r="S283" s="759"/>
      <c r="T283" s="759"/>
      <c r="U283" s="759"/>
      <c r="V283" s="759"/>
      <c r="W283" s="759"/>
      <c r="X283" s="759"/>
      <c r="Y283" s="759"/>
      <c r="Z283" s="759"/>
      <c r="AA283" s="759"/>
      <c r="AB283" s="759"/>
      <c r="AC283" s="759"/>
      <c r="AD283" s="759"/>
      <c r="AE283" s="759"/>
      <c r="AF283" s="759"/>
      <c r="AG283" s="759"/>
      <c r="AH283" s="759"/>
      <c r="AI283" s="759"/>
      <c r="AJ283" s="759"/>
      <c r="AK283" s="759"/>
      <c r="AL283" s="759"/>
      <c r="AM283" s="759"/>
      <c r="AN283" s="759"/>
      <c r="AO283" s="759"/>
      <c r="AP283" s="759"/>
      <c r="AQ283" s="759"/>
      <c r="AR283" s="759"/>
      <c r="AS283" s="759"/>
      <c r="AT283" s="759"/>
      <c r="AU283" s="759"/>
      <c r="AV283" s="759"/>
      <c r="AW283" s="759"/>
      <c r="AX283" s="759"/>
      <c r="AY283" s="759"/>
      <c r="AZ283" s="759"/>
      <c r="BA283" s="759"/>
      <c r="BB283" s="759"/>
      <c r="BC283" s="759"/>
      <c r="BD283" s="759"/>
    </row>
    <row r="284" spans="5:56" ht="33" customHeight="1" x14ac:dyDescent="0.25">
      <c r="E284" s="756" t="s">
        <v>62</v>
      </c>
      <c r="F284" s="756"/>
      <c r="G284" s="756"/>
      <c r="H284" s="756"/>
      <c r="I284" s="756"/>
      <c r="J284" s="756"/>
      <c r="K284" s="756"/>
      <c r="L284" s="756"/>
      <c r="M284" s="756"/>
      <c r="N284" s="759" t="s">
        <v>536</v>
      </c>
      <c r="O284" s="759"/>
      <c r="P284" s="759"/>
      <c r="Q284" s="759"/>
      <c r="R284" s="759"/>
      <c r="S284" s="759"/>
      <c r="T284" s="759"/>
      <c r="U284" s="759"/>
      <c r="V284" s="759"/>
      <c r="W284" s="759"/>
      <c r="X284" s="759"/>
      <c r="Y284" s="759"/>
      <c r="Z284" s="759"/>
      <c r="AA284" s="759"/>
      <c r="AB284" s="759"/>
      <c r="AC284" s="759"/>
      <c r="AD284" s="759"/>
      <c r="AE284" s="759"/>
      <c r="AF284" s="759"/>
      <c r="AG284" s="759"/>
      <c r="AH284" s="759"/>
      <c r="AI284" s="759"/>
      <c r="AJ284" s="759"/>
      <c r="AK284" s="759"/>
      <c r="AL284" s="759"/>
      <c r="AM284" s="759"/>
      <c r="AN284" s="759"/>
      <c r="AO284" s="759"/>
      <c r="AP284" s="759"/>
      <c r="AQ284" s="759"/>
      <c r="AR284" s="759"/>
      <c r="AS284" s="759"/>
      <c r="AT284" s="759"/>
      <c r="AU284" s="759"/>
      <c r="AV284" s="759"/>
      <c r="AW284" s="759"/>
      <c r="AX284" s="759"/>
      <c r="AY284" s="759"/>
      <c r="AZ284" s="759"/>
      <c r="BA284" s="759"/>
      <c r="BB284" s="759"/>
      <c r="BC284" s="759"/>
      <c r="BD284" s="759"/>
    </row>
    <row r="285" spans="5:56" ht="33" customHeight="1" x14ac:dyDescent="0.25">
      <c r="E285" s="756" t="s">
        <v>79</v>
      </c>
      <c r="F285" s="756"/>
      <c r="G285" s="756"/>
      <c r="H285" s="756"/>
      <c r="I285" s="756"/>
      <c r="J285" s="756"/>
      <c r="K285" s="756"/>
      <c r="L285" s="756"/>
      <c r="M285" s="756"/>
      <c r="N285" s="759" t="s">
        <v>537</v>
      </c>
      <c r="O285" s="759"/>
      <c r="P285" s="759"/>
      <c r="Q285" s="759"/>
      <c r="R285" s="759"/>
      <c r="S285" s="759"/>
      <c r="T285" s="759"/>
      <c r="U285" s="759"/>
      <c r="V285" s="759"/>
      <c r="W285" s="759"/>
      <c r="X285" s="759"/>
      <c r="Y285" s="759"/>
      <c r="Z285" s="759"/>
      <c r="AA285" s="759"/>
      <c r="AB285" s="759"/>
      <c r="AC285" s="759"/>
      <c r="AD285" s="759"/>
      <c r="AE285" s="759"/>
      <c r="AF285" s="759"/>
      <c r="AG285" s="759"/>
      <c r="AH285" s="759"/>
      <c r="AI285" s="759"/>
      <c r="AJ285" s="759"/>
      <c r="AK285" s="759"/>
      <c r="AL285" s="759"/>
      <c r="AM285" s="759"/>
      <c r="AN285" s="759"/>
      <c r="AO285" s="759"/>
      <c r="AP285" s="759"/>
      <c r="AQ285" s="759"/>
      <c r="AR285" s="759"/>
      <c r="AS285" s="759"/>
      <c r="AT285" s="759"/>
      <c r="AU285" s="759"/>
      <c r="AV285" s="759"/>
      <c r="AW285" s="759"/>
      <c r="AX285" s="759"/>
      <c r="AY285" s="759"/>
      <c r="AZ285" s="759"/>
      <c r="BA285" s="759"/>
      <c r="BB285" s="759"/>
      <c r="BC285" s="759"/>
      <c r="BD285" s="759"/>
    </row>
    <row r="286" spans="5:56" ht="33" customHeight="1" x14ac:dyDescent="0.25">
      <c r="E286" s="756" t="s">
        <v>538</v>
      </c>
      <c r="F286" s="756"/>
      <c r="G286" s="756"/>
      <c r="H286" s="756"/>
      <c r="I286" s="756"/>
      <c r="J286" s="756"/>
      <c r="K286" s="756"/>
      <c r="L286" s="756"/>
      <c r="M286" s="756"/>
      <c r="N286" s="759" t="s">
        <v>539</v>
      </c>
      <c r="O286" s="759"/>
      <c r="P286" s="759"/>
      <c r="Q286" s="759"/>
      <c r="R286" s="759"/>
      <c r="S286" s="759"/>
      <c r="T286" s="759"/>
      <c r="U286" s="759"/>
      <c r="V286" s="759"/>
      <c r="W286" s="759"/>
      <c r="X286" s="759"/>
      <c r="Y286" s="759"/>
      <c r="Z286" s="759"/>
      <c r="AA286" s="759"/>
      <c r="AB286" s="759"/>
      <c r="AC286" s="759"/>
      <c r="AD286" s="759"/>
      <c r="AE286" s="759"/>
      <c r="AF286" s="759"/>
      <c r="AG286" s="759"/>
      <c r="AH286" s="759"/>
      <c r="AI286" s="759"/>
      <c r="AJ286" s="759"/>
      <c r="AK286" s="759"/>
      <c r="AL286" s="759"/>
      <c r="AM286" s="759"/>
      <c r="AN286" s="759"/>
      <c r="AO286" s="759"/>
      <c r="AP286" s="759"/>
      <c r="AQ286" s="759"/>
      <c r="AR286" s="759"/>
      <c r="AS286" s="759"/>
      <c r="AT286" s="759"/>
      <c r="AU286" s="759"/>
      <c r="AV286" s="759"/>
      <c r="AW286" s="759"/>
      <c r="AX286" s="759"/>
      <c r="AY286" s="759"/>
      <c r="AZ286" s="759"/>
      <c r="BA286" s="759"/>
      <c r="BB286" s="759"/>
      <c r="BC286" s="759"/>
      <c r="BD286" s="759"/>
    </row>
    <row r="288" spans="5:56" ht="18" customHeight="1" x14ac:dyDescent="0.25">
      <c r="E288" s="701" t="s">
        <v>540</v>
      </c>
      <c r="F288" s="701"/>
      <c r="G288" s="701"/>
      <c r="H288" s="701"/>
      <c r="I288" s="701"/>
      <c r="J288" s="701"/>
      <c r="K288" s="701"/>
      <c r="L288" s="701"/>
      <c r="M288" s="701"/>
      <c r="N288" s="701"/>
      <c r="O288" s="701"/>
      <c r="P288" s="701"/>
      <c r="Q288" s="701"/>
      <c r="R288" s="701"/>
      <c r="S288" s="701"/>
      <c r="T288" s="701"/>
      <c r="U288" s="701"/>
      <c r="V288" s="701"/>
      <c r="W288" s="701"/>
      <c r="X288" s="701"/>
      <c r="Y288" s="701"/>
      <c r="Z288" s="701"/>
      <c r="AA288" s="701"/>
      <c r="AB288" s="701"/>
      <c r="AC288" s="701"/>
      <c r="AD288" s="701"/>
      <c r="AE288" s="701"/>
      <c r="AF288" s="701"/>
      <c r="AG288" s="701"/>
      <c r="AH288" s="701"/>
      <c r="AI288" s="701"/>
      <c r="AJ288" s="701"/>
      <c r="AK288" s="701"/>
      <c r="AL288" s="701"/>
      <c r="AM288" s="701"/>
      <c r="AN288" s="701"/>
      <c r="AO288" s="701"/>
      <c r="AP288" s="701"/>
      <c r="AQ288" s="701"/>
      <c r="AR288" s="701"/>
      <c r="AS288" s="701"/>
      <c r="AT288" s="701"/>
      <c r="AU288" s="701"/>
      <c r="AV288" s="701"/>
      <c r="AW288" s="701"/>
      <c r="AX288" s="701"/>
      <c r="AY288" s="701"/>
      <c r="AZ288" s="701"/>
      <c r="BA288" s="701"/>
      <c r="BB288" s="701"/>
      <c r="BC288" s="701"/>
      <c r="BD288" s="701"/>
    </row>
    <row r="290" spans="5:56" ht="39" customHeight="1" x14ac:dyDescent="0.25">
      <c r="E290" s="762" t="s">
        <v>68</v>
      </c>
      <c r="F290" s="763"/>
      <c r="G290" s="764"/>
      <c r="H290" s="761" t="s">
        <v>541</v>
      </c>
      <c r="I290" s="761"/>
      <c r="J290" s="761"/>
      <c r="K290" s="761"/>
      <c r="L290" s="761"/>
      <c r="M290" s="761"/>
      <c r="N290" s="761"/>
      <c r="O290" s="761"/>
      <c r="P290" s="761"/>
      <c r="Q290" s="761"/>
      <c r="R290" s="761"/>
      <c r="S290" s="761"/>
      <c r="T290" s="761"/>
      <c r="U290" s="761"/>
      <c r="V290" s="761"/>
      <c r="W290" s="761"/>
      <c r="X290" s="761"/>
      <c r="Y290" s="761"/>
      <c r="Z290" s="761"/>
      <c r="AA290" s="761"/>
      <c r="AB290" s="761"/>
      <c r="AC290" s="761"/>
      <c r="AD290" s="761"/>
      <c r="AE290" s="761"/>
      <c r="AF290" s="761"/>
      <c r="AG290" s="761"/>
      <c r="AH290" s="761"/>
      <c r="AI290" s="761"/>
      <c r="AJ290" s="761"/>
      <c r="AK290" s="761"/>
      <c r="AL290" s="761"/>
      <c r="AM290" s="761"/>
      <c r="AN290" s="761"/>
      <c r="AO290" s="761"/>
      <c r="AP290" s="761"/>
      <c r="AQ290" s="761"/>
      <c r="AR290" s="761"/>
      <c r="AS290" s="761"/>
      <c r="AT290" s="761"/>
      <c r="AU290" s="761"/>
      <c r="AV290" s="761"/>
      <c r="AW290" s="761"/>
      <c r="AX290" s="761"/>
      <c r="AY290" s="761"/>
      <c r="AZ290" s="761"/>
      <c r="BA290" s="761"/>
      <c r="BB290" s="761"/>
      <c r="BC290" s="761"/>
      <c r="BD290" s="761"/>
    </row>
    <row r="291" spans="5:56" ht="39" customHeight="1" x14ac:dyDescent="0.25">
      <c r="E291" s="765"/>
      <c r="F291" s="766"/>
      <c r="G291" s="767"/>
      <c r="H291" s="700" t="s">
        <v>542</v>
      </c>
      <c r="I291" s="700"/>
      <c r="J291" s="700"/>
      <c r="K291" s="700"/>
      <c r="L291" s="700"/>
      <c r="M291" s="700"/>
      <c r="N291" s="700"/>
      <c r="O291" s="700"/>
      <c r="P291" s="700"/>
      <c r="Q291" s="700"/>
      <c r="R291" s="700"/>
      <c r="S291" s="700"/>
      <c r="T291" s="700"/>
      <c r="U291" s="700"/>
      <c r="V291" s="700"/>
      <c r="W291" s="700"/>
      <c r="X291" s="700"/>
      <c r="Y291" s="700"/>
      <c r="Z291" s="700"/>
      <c r="AA291" s="700"/>
      <c r="AB291" s="700"/>
      <c r="AC291" s="700"/>
      <c r="AD291" s="700"/>
      <c r="AE291" s="700"/>
      <c r="AF291" s="700"/>
      <c r="AG291" s="700"/>
      <c r="AH291" s="700"/>
      <c r="AI291" s="700"/>
      <c r="AJ291" s="700"/>
      <c r="AK291" s="700"/>
      <c r="AL291" s="700"/>
      <c r="AM291" s="700"/>
      <c r="AN291" s="700"/>
      <c r="AO291" s="700"/>
      <c r="AP291" s="700"/>
      <c r="AQ291" s="700"/>
      <c r="AR291" s="700"/>
      <c r="AS291" s="700"/>
      <c r="AT291" s="700"/>
      <c r="AU291" s="700"/>
      <c r="AV291" s="700"/>
      <c r="AW291" s="700"/>
      <c r="AX291" s="700"/>
      <c r="AY291" s="700"/>
      <c r="AZ291" s="700"/>
      <c r="BA291" s="700"/>
      <c r="BB291" s="700"/>
      <c r="BC291" s="700"/>
      <c r="BD291" s="700"/>
    </row>
    <row r="292" spans="5:56" ht="39" customHeight="1" x14ac:dyDescent="0.25">
      <c r="E292" s="765"/>
      <c r="F292" s="766"/>
      <c r="G292" s="767"/>
      <c r="H292" s="700" t="s">
        <v>543</v>
      </c>
      <c r="I292" s="700"/>
      <c r="J292" s="700"/>
      <c r="K292" s="700"/>
      <c r="L292" s="700"/>
      <c r="M292" s="700"/>
      <c r="N292" s="700"/>
      <c r="O292" s="700"/>
      <c r="P292" s="700"/>
      <c r="Q292" s="700"/>
      <c r="R292" s="700"/>
      <c r="S292" s="700"/>
      <c r="T292" s="700"/>
      <c r="U292" s="700"/>
      <c r="V292" s="700"/>
      <c r="W292" s="700"/>
      <c r="X292" s="700"/>
      <c r="Y292" s="700"/>
      <c r="Z292" s="700"/>
      <c r="AA292" s="700"/>
      <c r="AB292" s="700"/>
      <c r="AC292" s="700"/>
      <c r="AD292" s="700"/>
      <c r="AE292" s="700"/>
      <c r="AF292" s="700"/>
      <c r="AG292" s="700"/>
      <c r="AH292" s="700"/>
      <c r="AI292" s="700"/>
      <c r="AJ292" s="700"/>
      <c r="AK292" s="700"/>
      <c r="AL292" s="700"/>
      <c r="AM292" s="700"/>
      <c r="AN292" s="700"/>
      <c r="AO292" s="700"/>
      <c r="AP292" s="700"/>
      <c r="AQ292" s="700"/>
      <c r="AR292" s="700"/>
      <c r="AS292" s="700"/>
      <c r="AT292" s="700"/>
      <c r="AU292" s="700"/>
      <c r="AV292" s="700"/>
      <c r="AW292" s="700"/>
      <c r="AX292" s="700"/>
      <c r="AY292" s="700"/>
      <c r="AZ292" s="700"/>
      <c r="BA292" s="700"/>
      <c r="BB292" s="700"/>
      <c r="BC292" s="700"/>
      <c r="BD292" s="700"/>
    </row>
    <row r="293" spans="5:56" ht="15" x14ac:dyDescent="0.25">
      <c r="E293" s="762" t="s">
        <v>69</v>
      </c>
      <c r="F293" s="763"/>
      <c r="G293" s="764"/>
      <c r="H293" s="761" t="s">
        <v>544</v>
      </c>
      <c r="I293" s="761"/>
      <c r="J293" s="761"/>
      <c r="K293" s="761"/>
      <c r="L293" s="761"/>
      <c r="M293" s="761"/>
      <c r="N293" s="761"/>
      <c r="O293" s="761"/>
      <c r="P293" s="761"/>
      <c r="Q293" s="761"/>
      <c r="R293" s="761"/>
      <c r="S293" s="761"/>
      <c r="T293" s="761"/>
      <c r="U293" s="761"/>
      <c r="V293" s="761"/>
      <c r="W293" s="761"/>
      <c r="X293" s="761"/>
      <c r="Y293" s="761"/>
      <c r="Z293" s="761"/>
      <c r="AA293" s="761"/>
      <c r="AB293" s="761"/>
      <c r="AC293" s="761"/>
      <c r="AD293" s="761"/>
      <c r="AE293" s="761"/>
      <c r="AF293" s="761"/>
      <c r="AG293" s="761"/>
      <c r="AH293" s="761"/>
      <c r="AI293" s="761"/>
      <c r="AJ293" s="761"/>
      <c r="AK293" s="761"/>
      <c r="AL293" s="761"/>
      <c r="AM293" s="761"/>
      <c r="AN293" s="761"/>
      <c r="AO293" s="761"/>
      <c r="AP293" s="761"/>
      <c r="AQ293" s="761"/>
      <c r="AR293" s="761"/>
      <c r="AS293" s="761"/>
      <c r="AT293" s="761"/>
      <c r="AU293" s="761"/>
      <c r="AV293" s="761"/>
      <c r="AW293" s="761"/>
      <c r="AX293" s="761"/>
      <c r="AY293" s="761"/>
      <c r="AZ293" s="761"/>
      <c r="BA293" s="761"/>
      <c r="BB293" s="761"/>
      <c r="BC293" s="761"/>
      <c r="BD293" s="761"/>
    </row>
    <row r="294" spans="5:56" ht="33.6" customHeight="1" x14ac:dyDescent="0.25">
      <c r="E294" s="765"/>
      <c r="F294" s="766"/>
      <c r="G294" s="767"/>
      <c r="H294" s="700" t="s">
        <v>545</v>
      </c>
      <c r="I294" s="700"/>
      <c r="J294" s="700"/>
      <c r="K294" s="700"/>
      <c r="L294" s="700"/>
      <c r="M294" s="700"/>
      <c r="N294" s="700"/>
      <c r="O294" s="700"/>
      <c r="P294" s="700"/>
      <c r="Q294" s="700"/>
      <c r="R294" s="700"/>
      <c r="S294" s="700"/>
      <c r="T294" s="700"/>
      <c r="U294" s="700"/>
      <c r="V294" s="700"/>
      <c r="W294" s="700"/>
      <c r="X294" s="700"/>
      <c r="Y294" s="700"/>
      <c r="Z294" s="700"/>
      <c r="AA294" s="700"/>
      <c r="AB294" s="700"/>
      <c r="AC294" s="700"/>
      <c r="AD294" s="700"/>
      <c r="AE294" s="700"/>
      <c r="AF294" s="700"/>
      <c r="AG294" s="700"/>
      <c r="AH294" s="700"/>
      <c r="AI294" s="700"/>
      <c r="AJ294" s="700"/>
      <c r="AK294" s="700"/>
      <c r="AL294" s="700"/>
      <c r="AM294" s="700"/>
      <c r="AN294" s="700"/>
      <c r="AO294" s="700"/>
      <c r="AP294" s="700"/>
      <c r="AQ294" s="700"/>
      <c r="AR294" s="700"/>
      <c r="AS294" s="700"/>
      <c r="AT294" s="700"/>
      <c r="AU294" s="700"/>
      <c r="AV294" s="700"/>
      <c r="AW294" s="700"/>
      <c r="AX294" s="700"/>
      <c r="AY294" s="700"/>
      <c r="AZ294" s="700"/>
      <c r="BA294" s="700"/>
      <c r="BB294" s="700"/>
      <c r="BC294" s="700"/>
      <c r="BD294" s="700"/>
    </row>
    <row r="295" spans="5:56" ht="28.9" customHeight="1" x14ac:dyDescent="0.25">
      <c r="E295" s="765"/>
      <c r="F295" s="766"/>
      <c r="G295" s="767"/>
      <c r="H295" s="700" t="s">
        <v>546</v>
      </c>
      <c r="I295" s="700"/>
      <c r="J295" s="700"/>
      <c r="K295" s="700"/>
      <c r="L295" s="700"/>
      <c r="M295" s="700"/>
      <c r="N295" s="700"/>
      <c r="O295" s="700"/>
      <c r="P295" s="700"/>
      <c r="Q295" s="700"/>
      <c r="R295" s="700"/>
      <c r="S295" s="700"/>
      <c r="T295" s="700"/>
      <c r="U295" s="700"/>
      <c r="V295" s="700"/>
      <c r="W295" s="700"/>
      <c r="X295" s="700"/>
      <c r="Y295" s="700"/>
      <c r="Z295" s="700"/>
      <c r="AA295" s="700"/>
      <c r="AB295" s="700"/>
      <c r="AC295" s="700"/>
      <c r="AD295" s="700"/>
      <c r="AE295" s="700"/>
      <c r="AF295" s="700"/>
      <c r="AG295" s="700"/>
      <c r="AH295" s="700"/>
      <c r="AI295" s="700"/>
      <c r="AJ295" s="700"/>
      <c r="AK295" s="700"/>
      <c r="AL295" s="700"/>
      <c r="AM295" s="700"/>
      <c r="AN295" s="700"/>
      <c r="AO295" s="700"/>
      <c r="AP295" s="700"/>
      <c r="AQ295" s="700"/>
      <c r="AR295" s="700"/>
      <c r="AS295" s="700"/>
      <c r="AT295" s="700"/>
      <c r="AU295" s="700"/>
      <c r="AV295" s="700"/>
      <c r="AW295" s="700"/>
      <c r="AX295" s="700"/>
      <c r="AY295" s="700"/>
      <c r="AZ295" s="700"/>
      <c r="BA295" s="700"/>
      <c r="BB295" s="700"/>
      <c r="BC295" s="700"/>
      <c r="BD295" s="700"/>
    </row>
    <row r="296" spans="5:56" ht="30" customHeight="1" x14ac:dyDescent="0.25">
      <c r="E296" s="765"/>
      <c r="F296" s="766"/>
      <c r="G296" s="767"/>
      <c r="H296" s="700" t="s">
        <v>547</v>
      </c>
      <c r="I296" s="700"/>
      <c r="J296" s="700"/>
      <c r="K296" s="700"/>
      <c r="L296" s="700"/>
      <c r="M296" s="700"/>
      <c r="N296" s="700"/>
      <c r="O296" s="700"/>
      <c r="P296" s="700"/>
      <c r="Q296" s="700"/>
      <c r="R296" s="700"/>
      <c r="S296" s="700"/>
      <c r="T296" s="700"/>
      <c r="U296" s="700"/>
      <c r="V296" s="700"/>
      <c r="W296" s="700"/>
      <c r="X296" s="700"/>
      <c r="Y296" s="700"/>
      <c r="Z296" s="700"/>
      <c r="AA296" s="700"/>
      <c r="AB296" s="700"/>
      <c r="AC296" s="700"/>
      <c r="AD296" s="700"/>
      <c r="AE296" s="700"/>
      <c r="AF296" s="700"/>
      <c r="AG296" s="700"/>
      <c r="AH296" s="700"/>
      <c r="AI296" s="700"/>
      <c r="AJ296" s="700"/>
      <c r="AK296" s="700"/>
      <c r="AL296" s="700"/>
      <c r="AM296" s="700"/>
      <c r="AN296" s="700"/>
      <c r="AO296" s="700"/>
      <c r="AP296" s="700"/>
      <c r="AQ296" s="700"/>
      <c r="AR296" s="700"/>
      <c r="AS296" s="700"/>
      <c r="AT296" s="700"/>
      <c r="AU296" s="700"/>
      <c r="AV296" s="700"/>
      <c r="AW296" s="700"/>
      <c r="AX296" s="700"/>
      <c r="AY296" s="700"/>
      <c r="AZ296" s="700"/>
      <c r="BA296" s="700"/>
      <c r="BB296" s="700"/>
      <c r="BC296" s="700"/>
      <c r="BD296" s="700"/>
    </row>
    <row r="297" spans="5:56" ht="28.9" customHeight="1" x14ac:dyDescent="0.25">
      <c r="E297" s="765"/>
      <c r="F297" s="766"/>
      <c r="G297" s="767"/>
      <c r="H297" s="700" t="s">
        <v>548</v>
      </c>
      <c r="I297" s="700"/>
      <c r="J297" s="700"/>
      <c r="K297" s="700"/>
      <c r="L297" s="700"/>
      <c r="M297" s="700"/>
      <c r="N297" s="700"/>
      <c r="O297" s="700"/>
      <c r="P297" s="700"/>
      <c r="Q297" s="700"/>
      <c r="R297" s="700"/>
      <c r="S297" s="700"/>
      <c r="T297" s="700"/>
      <c r="U297" s="700"/>
      <c r="V297" s="700"/>
      <c r="W297" s="700"/>
      <c r="X297" s="700"/>
      <c r="Y297" s="700"/>
      <c r="Z297" s="700"/>
      <c r="AA297" s="700"/>
      <c r="AB297" s="700"/>
      <c r="AC297" s="700"/>
      <c r="AD297" s="700"/>
      <c r="AE297" s="700"/>
      <c r="AF297" s="700"/>
      <c r="AG297" s="700"/>
      <c r="AH297" s="700"/>
      <c r="AI297" s="700"/>
      <c r="AJ297" s="700"/>
      <c r="AK297" s="700"/>
      <c r="AL297" s="700"/>
      <c r="AM297" s="700"/>
      <c r="AN297" s="700"/>
      <c r="AO297" s="700"/>
      <c r="AP297" s="700"/>
      <c r="AQ297" s="700"/>
      <c r="AR297" s="700"/>
      <c r="AS297" s="700"/>
      <c r="AT297" s="700"/>
      <c r="AU297" s="700"/>
      <c r="AV297" s="700"/>
      <c r="AW297" s="700"/>
      <c r="AX297" s="700"/>
      <c r="AY297" s="700"/>
      <c r="AZ297" s="700"/>
      <c r="BA297" s="700"/>
      <c r="BB297" s="700"/>
      <c r="BC297" s="700"/>
      <c r="BD297" s="700"/>
    </row>
    <row r="298" spans="5:56" ht="75.599999999999994" customHeight="1" x14ac:dyDescent="0.25">
      <c r="E298" s="768"/>
      <c r="F298" s="769"/>
      <c r="G298" s="770"/>
      <c r="H298" s="700" t="s">
        <v>549</v>
      </c>
      <c r="I298" s="700"/>
      <c r="J298" s="700"/>
      <c r="K298" s="700"/>
      <c r="L298" s="700"/>
      <c r="M298" s="700"/>
      <c r="N298" s="700"/>
      <c r="O298" s="700"/>
      <c r="P298" s="700"/>
      <c r="Q298" s="700"/>
      <c r="R298" s="700"/>
      <c r="S298" s="700"/>
      <c r="T298" s="700"/>
      <c r="U298" s="700"/>
      <c r="V298" s="700"/>
      <c r="W298" s="700"/>
      <c r="X298" s="700"/>
      <c r="Y298" s="700"/>
      <c r="Z298" s="700"/>
      <c r="AA298" s="700"/>
      <c r="AB298" s="700"/>
      <c r="AC298" s="700"/>
      <c r="AD298" s="700"/>
      <c r="AE298" s="700"/>
      <c r="AF298" s="700"/>
      <c r="AG298" s="700"/>
      <c r="AH298" s="700"/>
      <c r="AI298" s="700"/>
      <c r="AJ298" s="700"/>
      <c r="AK298" s="700"/>
      <c r="AL298" s="700"/>
      <c r="AM298" s="700"/>
      <c r="AN298" s="700"/>
      <c r="AO298" s="700"/>
      <c r="AP298" s="700"/>
      <c r="AQ298" s="700"/>
      <c r="AR298" s="700"/>
      <c r="AS298" s="700"/>
      <c r="AT298" s="700"/>
      <c r="AU298" s="700"/>
      <c r="AV298" s="700"/>
      <c r="AW298" s="700"/>
      <c r="AX298" s="700"/>
      <c r="AY298" s="700"/>
      <c r="AZ298" s="700"/>
      <c r="BA298" s="700"/>
      <c r="BB298" s="700"/>
      <c r="BC298" s="700"/>
      <c r="BD298" s="700"/>
    </row>
    <row r="299" spans="5:56" ht="15" x14ac:dyDescent="0.25">
      <c r="E299" s="762" t="s">
        <v>70</v>
      </c>
      <c r="F299" s="763"/>
      <c r="G299" s="764"/>
      <c r="H299" s="761" t="s">
        <v>550</v>
      </c>
      <c r="I299" s="761"/>
      <c r="J299" s="761"/>
      <c r="K299" s="761"/>
      <c r="L299" s="761"/>
      <c r="M299" s="761"/>
      <c r="N299" s="761"/>
      <c r="O299" s="761"/>
      <c r="P299" s="761"/>
      <c r="Q299" s="761"/>
      <c r="R299" s="761"/>
      <c r="S299" s="761"/>
      <c r="T299" s="761"/>
      <c r="U299" s="761"/>
      <c r="V299" s="761"/>
      <c r="W299" s="761"/>
      <c r="X299" s="761"/>
      <c r="Y299" s="761"/>
      <c r="Z299" s="761"/>
      <c r="AA299" s="761"/>
      <c r="AB299" s="761"/>
      <c r="AC299" s="761"/>
      <c r="AD299" s="761"/>
      <c r="AE299" s="761"/>
      <c r="AF299" s="761"/>
      <c r="AG299" s="761"/>
      <c r="AH299" s="761"/>
      <c r="AI299" s="761"/>
      <c r="AJ299" s="761"/>
      <c r="AK299" s="761"/>
      <c r="AL299" s="761"/>
      <c r="AM299" s="761"/>
      <c r="AN299" s="761"/>
      <c r="AO299" s="761"/>
      <c r="AP299" s="761"/>
      <c r="AQ299" s="761"/>
      <c r="AR299" s="761"/>
      <c r="AS299" s="761"/>
      <c r="AT299" s="761"/>
      <c r="AU299" s="761"/>
      <c r="AV299" s="761"/>
      <c r="AW299" s="761"/>
      <c r="AX299" s="761"/>
      <c r="AY299" s="761"/>
      <c r="AZ299" s="761"/>
      <c r="BA299" s="761"/>
      <c r="BB299" s="761"/>
      <c r="BC299" s="761"/>
      <c r="BD299" s="761"/>
    </row>
    <row r="300" spans="5:56" ht="15" x14ac:dyDescent="0.25">
      <c r="E300" s="765"/>
      <c r="F300" s="766"/>
      <c r="G300" s="767"/>
      <c r="H300" s="700" t="s">
        <v>551</v>
      </c>
      <c r="I300" s="700"/>
      <c r="J300" s="700"/>
      <c r="K300" s="700"/>
      <c r="L300" s="700"/>
      <c r="M300" s="700"/>
      <c r="N300" s="700"/>
      <c r="O300" s="700"/>
      <c r="P300" s="700"/>
      <c r="Q300" s="700"/>
      <c r="R300" s="700"/>
      <c r="S300" s="700"/>
      <c r="T300" s="700"/>
      <c r="U300" s="700"/>
      <c r="V300" s="700"/>
      <c r="W300" s="700"/>
      <c r="X300" s="700"/>
      <c r="Y300" s="700"/>
      <c r="Z300" s="700"/>
      <c r="AA300" s="700"/>
      <c r="AB300" s="700"/>
      <c r="AC300" s="700"/>
      <c r="AD300" s="700"/>
      <c r="AE300" s="700"/>
      <c r="AF300" s="700"/>
      <c r="AG300" s="700"/>
      <c r="AH300" s="700"/>
      <c r="AI300" s="700"/>
      <c r="AJ300" s="700"/>
      <c r="AK300" s="700"/>
      <c r="AL300" s="700"/>
      <c r="AM300" s="700"/>
      <c r="AN300" s="700"/>
      <c r="AO300" s="700"/>
      <c r="AP300" s="700"/>
      <c r="AQ300" s="700"/>
      <c r="AR300" s="700"/>
      <c r="AS300" s="700"/>
      <c r="AT300" s="700"/>
      <c r="AU300" s="700"/>
      <c r="AV300" s="700"/>
      <c r="AW300" s="700"/>
      <c r="AX300" s="700"/>
      <c r="AY300" s="700"/>
      <c r="AZ300" s="700"/>
      <c r="BA300" s="700"/>
      <c r="BB300" s="700"/>
      <c r="BC300" s="700"/>
      <c r="BD300" s="700"/>
    </row>
    <row r="301" spans="5:56" ht="32.450000000000003" customHeight="1" x14ac:dyDescent="0.25">
      <c r="E301" s="765"/>
      <c r="F301" s="766"/>
      <c r="G301" s="767"/>
      <c r="H301" s="700" t="s">
        <v>552</v>
      </c>
      <c r="I301" s="700"/>
      <c r="J301" s="700"/>
      <c r="K301" s="700"/>
      <c r="L301" s="700"/>
      <c r="M301" s="700"/>
      <c r="N301" s="700"/>
      <c r="O301" s="700"/>
      <c r="P301" s="700"/>
      <c r="Q301" s="700"/>
      <c r="R301" s="700"/>
      <c r="S301" s="700"/>
      <c r="T301" s="700"/>
      <c r="U301" s="700"/>
      <c r="V301" s="700"/>
      <c r="W301" s="700"/>
      <c r="X301" s="700"/>
      <c r="Y301" s="700"/>
      <c r="Z301" s="700"/>
      <c r="AA301" s="700"/>
      <c r="AB301" s="700"/>
      <c r="AC301" s="700"/>
      <c r="AD301" s="700"/>
      <c r="AE301" s="700"/>
      <c r="AF301" s="700"/>
      <c r="AG301" s="700"/>
      <c r="AH301" s="700"/>
      <c r="AI301" s="700"/>
      <c r="AJ301" s="700"/>
      <c r="AK301" s="700"/>
      <c r="AL301" s="700"/>
      <c r="AM301" s="700"/>
      <c r="AN301" s="700"/>
      <c r="AO301" s="700"/>
      <c r="AP301" s="700"/>
      <c r="AQ301" s="700"/>
      <c r="AR301" s="700"/>
      <c r="AS301" s="700"/>
      <c r="AT301" s="700"/>
      <c r="AU301" s="700"/>
      <c r="AV301" s="700"/>
      <c r="AW301" s="700"/>
      <c r="AX301" s="700"/>
      <c r="AY301" s="700"/>
      <c r="AZ301" s="700"/>
      <c r="BA301" s="700"/>
      <c r="BB301" s="700"/>
      <c r="BC301" s="700"/>
      <c r="BD301" s="700"/>
    </row>
    <row r="302" spans="5:56" ht="15" x14ac:dyDescent="0.25">
      <c r="E302" s="765"/>
      <c r="F302" s="766"/>
      <c r="G302" s="767"/>
      <c r="H302" s="700" t="s">
        <v>553</v>
      </c>
      <c r="I302" s="700"/>
      <c r="J302" s="700"/>
      <c r="K302" s="700"/>
      <c r="L302" s="700"/>
      <c r="M302" s="700"/>
      <c r="N302" s="700"/>
      <c r="O302" s="700"/>
      <c r="P302" s="700"/>
      <c r="Q302" s="700"/>
      <c r="R302" s="700"/>
      <c r="S302" s="700"/>
      <c r="T302" s="700"/>
      <c r="U302" s="700"/>
      <c r="V302" s="700"/>
      <c r="W302" s="700"/>
      <c r="X302" s="700"/>
      <c r="Y302" s="700"/>
      <c r="Z302" s="700"/>
      <c r="AA302" s="700"/>
      <c r="AB302" s="700"/>
      <c r="AC302" s="700"/>
      <c r="AD302" s="700"/>
      <c r="AE302" s="700"/>
      <c r="AF302" s="700"/>
      <c r="AG302" s="700"/>
      <c r="AH302" s="700"/>
      <c r="AI302" s="700"/>
      <c r="AJ302" s="700"/>
      <c r="AK302" s="700"/>
      <c r="AL302" s="700"/>
      <c r="AM302" s="700"/>
      <c r="AN302" s="700"/>
      <c r="AO302" s="700"/>
      <c r="AP302" s="700"/>
      <c r="AQ302" s="700"/>
      <c r="AR302" s="700"/>
      <c r="AS302" s="700"/>
      <c r="AT302" s="700"/>
      <c r="AU302" s="700"/>
      <c r="AV302" s="700"/>
      <c r="AW302" s="700"/>
      <c r="AX302" s="700"/>
      <c r="AY302" s="700"/>
      <c r="AZ302" s="700"/>
      <c r="BA302" s="700"/>
      <c r="BB302" s="700"/>
      <c r="BC302" s="700"/>
      <c r="BD302" s="700"/>
    </row>
    <row r="303" spans="5:56" ht="43.9" customHeight="1" x14ac:dyDescent="0.25">
      <c r="E303" s="765"/>
      <c r="F303" s="766"/>
      <c r="G303" s="767"/>
      <c r="H303" s="700" t="s">
        <v>554</v>
      </c>
      <c r="I303" s="700"/>
      <c r="J303" s="700"/>
      <c r="K303" s="700"/>
      <c r="L303" s="700"/>
      <c r="M303" s="700"/>
      <c r="N303" s="700"/>
      <c r="O303" s="700"/>
      <c r="P303" s="700"/>
      <c r="Q303" s="700"/>
      <c r="R303" s="700"/>
      <c r="S303" s="700"/>
      <c r="T303" s="700"/>
      <c r="U303" s="700"/>
      <c r="V303" s="700"/>
      <c r="W303" s="700"/>
      <c r="X303" s="700"/>
      <c r="Y303" s="700"/>
      <c r="Z303" s="700"/>
      <c r="AA303" s="700"/>
      <c r="AB303" s="700"/>
      <c r="AC303" s="700"/>
      <c r="AD303" s="700"/>
      <c r="AE303" s="700"/>
      <c r="AF303" s="700"/>
      <c r="AG303" s="700"/>
      <c r="AH303" s="700"/>
      <c r="AI303" s="700"/>
      <c r="AJ303" s="700"/>
      <c r="AK303" s="700"/>
      <c r="AL303" s="700"/>
      <c r="AM303" s="700"/>
      <c r="AN303" s="700"/>
      <c r="AO303" s="700"/>
      <c r="AP303" s="700"/>
      <c r="AQ303" s="700"/>
      <c r="AR303" s="700"/>
      <c r="AS303" s="700"/>
      <c r="AT303" s="700"/>
      <c r="AU303" s="700"/>
      <c r="AV303" s="700"/>
      <c r="AW303" s="700"/>
      <c r="AX303" s="700"/>
      <c r="AY303" s="700"/>
      <c r="AZ303" s="700"/>
      <c r="BA303" s="700"/>
      <c r="BB303" s="700"/>
      <c r="BC303" s="700"/>
      <c r="BD303" s="700"/>
    </row>
    <row r="304" spans="5:56" ht="30.6" customHeight="1" x14ac:dyDescent="0.25">
      <c r="E304" s="765"/>
      <c r="F304" s="766"/>
      <c r="G304" s="767"/>
      <c r="H304" s="700" t="s">
        <v>555</v>
      </c>
      <c r="I304" s="700"/>
      <c r="J304" s="700"/>
      <c r="K304" s="700"/>
      <c r="L304" s="700"/>
      <c r="M304" s="700"/>
      <c r="N304" s="700"/>
      <c r="O304" s="700"/>
      <c r="P304" s="700"/>
      <c r="Q304" s="700"/>
      <c r="R304" s="700"/>
      <c r="S304" s="700"/>
      <c r="T304" s="700"/>
      <c r="U304" s="700"/>
      <c r="V304" s="700"/>
      <c r="W304" s="700"/>
      <c r="X304" s="700"/>
      <c r="Y304" s="700"/>
      <c r="Z304" s="700"/>
      <c r="AA304" s="700"/>
      <c r="AB304" s="700"/>
      <c r="AC304" s="700"/>
      <c r="AD304" s="700"/>
      <c r="AE304" s="700"/>
      <c r="AF304" s="700"/>
      <c r="AG304" s="700"/>
      <c r="AH304" s="700"/>
      <c r="AI304" s="700"/>
      <c r="AJ304" s="700"/>
      <c r="AK304" s="700"/>
      <c r="AL304" s="700"/>
      <c r="AM304" s="700"/>
      <c r="AN304" s="700"/>
      <c r="AO304" s="700"/>
      <c r="AP304" s="700"/>
      <c r="AQ304" s="700"/>
      <c r="AR304" s="700"/>
      <c r="AS304" s="700"/>
      <c r="AT304" s="700"/>
      <c r="AU304" s="700"/>
      <c r="AV304" s="700"/>
      <c r="AW304" s="700"/>
      <c r="AX304" s="700"/>
      <c r="AY304" s="700"/>
      <c r="AZ304" s="700"/>
      <c r="BA304" s="700"/>
      <c r="BB304" s="700"/>
      <c r="BC304" s="700"/>
      <c r="BD304" s="700"/>
    </row>
    <row r="305" spans="5:56" ht="64.900000000000006" customHeight="1" x14ac:dyDescent="0.25">
      <c r="E305" s="768"/>
      <c r="F305" s="769"/>
      <c r="G305" s="770"/>
      <c r="H305" s="700" t="s">
        <v>556</v>
      </c>
      <c r="I305" s="700"/>
      <c r="J305" s="700"/>
      <c r="K305" s="700"/>
      <c r="L305" s="700"/>
      <c r="M305" s="700"/>
      <c r="N305" s="700"/>
      <c r="O305" s="700"/>
      <c r="P305" s="700"/>
      <c r="Q305" s="700"/>
      <c r="R305" s="700"/>
      <c r="S305" s="700"/>
      <c r="T305" s="700"/>
      <c r="U305" s="700"/>
      <c r="V305" s="700"/>
      <c r="W305" s="700"/>
      <c r="X305" s="700"/>
      <c r="Y305" s="700"/>
      <c r="Z305" s="700"/>
      <c r="AA305" s="700"/>
      <c r="AB305" s="700"/>
      <c r="AC305" s="700"/>
      <c r="AD305" s="700"/>
      <c r="AE305" s="700"/>
      <c r="AF305" s="700"/>
      <c r="AG305" s="700"/>
      <c r="AH305" s="700"/>
      <c r="AI305" s="700"/>
      <c r="AJ305" s="700"/>
      <c r="AK305" s="700"/>
      <c r="AL305" s="700"/>
      <c r="AM305" s="700"/>
      <c r="AN305" s="700"/>
      <c r="AO305" s="700"/>
      <c r="AP305" s="700"/>
      <c r="AQ305" s="700"/>
      <c r="AR305" s="700"/>
      <c r="AS305" s="700"/>
      <c r="AT305" s="700"/>
      <c r="AU305" s="700"/>
      <c r="AV305" s="700"/>
      <c r="AW305" s="700"/>
      <c r="AX305" s="700"/>
      <c r="AY305" s="700"/>
      <c r="AZ305" s="700"/>
      <c r="BA305" s="700"/>
      <c r="BB305" s="700"/>
      <c r="BC305" s="700"/>
      <c r="BD305" s="700"/>
    </row>
    <row r="308" spans="5:56" ht="61.15" customHeight="1" x14ac:dyDescent="0.25">
      <c r="E308" s="719" t="s">
        <v>557</v>
      </c>
      <c r="F308" s="719"/>
      <c r="G308" s="719"/>
      <c r="H308" s="719"/>
      <c r="I308" s="717" t="s">
        <v>591</v>
      </c>
      <c r="J308" s="717"/>
      <c r="K308" s="717"/>
      <c r="L308" s="717"/>
      <c r="M308" s="717"/>
      <c r="N308" s="717"/>
      <c r="O308" s="717"/>
      <c r="P308" s="717"/>
      <c r="Q308" s="717"/>
      <c r="R308" s="717"/>
      <c r="S308" s="717"/>
      <c r="T308" s="717"/>
      <c r="U308" s="717"/>
      <c r="V308" s="717"/>
      <c r="W308" s="717"/>
      <c r="X308" s="717"/>
      <c r="Y308" s="717"/>
      <c r="Z308" s="717"/>
      <c r="AA308" s="717"/>
      <c r="AB308" s="717"/>
      <c r="AC308" s="717"/>
      <c r="AD308" s="717"/>
      <c r="AE308" s="717"/>
      <c r="AF308" s="717"/>
      <c r="AG308" s="717"/>
      <c r="AH308" s="717"/>
      <c r="AI308" s="717"/>
      <c r="AJ308" s="717"/>
      <c r="AK308" s="717"/>
      <c r="AL308" s="717"/>
      <c r="AM308" s="717"/>
      <c r="AN308" s="717"/>
      <c r="AO308" s="717"/>
      <c r="AP308" s="717"/>
      <c r="AQ308" s="717"/>
      <c r="AR308" s="717"/>
      <c r="AS308" s="717"/>
      <c r="AT308" s="717"/>
      <c r="AU308" s="717"/>
      <c r="AV308" s="717"/>
      <c r="AW308" s="717"/>
      <c r="AX308" s="717"/>
      <c r="AY308" s="717"/>
      <c r="AZ308" s="717"/>
      <c r="BA308" s="717"/>
      <c r="BB308" s="717"/>
      <c r="BC308" s="717"/>
      <c r="BD308" s="717"/>
    </row>
    <row r="309" spans="5:56" ht="32.450000000000003" customHeight="1" x14ac:dyDescent="0.25">
      <c r="E309" s="719" t="s">
        <v>75</v>
      </c>
      <c r="F309" s="719"/>
      <c r="G309" s="719"/>
      <c r="H309" s="719"/>
      <c r="I309" s="717" t="s">
        <v>558</v>
      </c>
      <c r="J309" s="717"/>
      <c r="K309" s="717"/>
      <c r="L309" s="717"/>
      <c r="M309" s="717"/>
      <c r="N309" s="717"/>
      <c r="O309" s="717"/>
      <c r="P309" s="717"/>
      <c r="Q309" s="717"/>
      <c r="R309" s="717"/>
      <c r="S309" s="717"/>
      <c r="T309" s="717"/>
      <c r="U309" s="717"/>
      <c r="V309" s="717"/>
      <c r="W309" s="717"/>
      <c r="X309" s="717"/>
      <c r="Y309" s="717"/>
      <c r="Z309" s="717"/>
      <c r="AA309" s="717"/>
      <c r="AB309" s="717"/>
      <c r="AC309" s="717"/>
      <c r="AD309" s="717"/>
      <c r="AE309" s="717"/>
      <c r="AF309" s="717"/>
      <c r="AG309" s="717"/>
      <c r="AH309" s="717"/>
      <c r="AI309" s="717"/>
      <c r="AJ309" s="717"/>
      <c r="AK309" s="717"/>
      <c r="AL309" s="717"/>
      <c r="AM309" s="717"/>
      <c r="AN309" s="717"/>
      <c r="AO309" s="717"/>
      <c r="AP309" s="717"/>
      <c r="AQ309" s="717"/>
      <c r="AR309" s="717"/>
      <c r="AS309" s="717"/>
      <c r="AT309" s="717"/>
      <c r="AU309" s="717"/>
      <c r="AV309" s="717"/>
      <c r="AW309" s="717"/>
      <c r="AX309" s="717"/>
      <c r="AY309" s="717"/>
      <c r="AZ309" s="717"/>
      <c r="BA309" s="717"/>
      <c r="BB309" s="717"/>
      <c r="BC309" s="717"/>
      <c r="BD309" s="717"/>
    </row>
    <row r="312" spans="5:56" ht="18" customHeight="1" x14ac:dyDescent="0.25">
      <c r="E312" s="701" t="s">
        <v>559</v>
      </c>
      <c r="F312" s="701"/>
      <c r="G312" s="701"/>
      <c r="H312" s="701"/>
      <c r="I312" s="701"/>
      <c r="J312" s="701"/>
      <c r="K312" s="701"/>
      <c r="L312" s="701"/>
      <c r="M312" s="701"/>
      <c r="N312" s="701"/>
      <c r="O312" s="701"/>
      <c r="P312" s="701"/>
      <c r="Q312" s="701"/>
      <c r="R312" s="701"/>
      <c r="S312" s="701"/>
      <c r="T312" s="701"/>
      <c r="U312" s="701"/>
      <c r="V312" s="701"/>
      <c r="W312" s="701"/>
      <c r="X312" s="701"/>
      <c r="Y312" s="701"/>
      <c r="Z312" s="701"/>
      <c r="AA312" s="701"/>
      <c r="AB312" s="701"/>
      <c r="AC312" s="701"/>
      <c r="AD312" s="701"/>
      <c r="AE312" s="701"/>
      <c r="AF312" s="701"/>
      <c r="AG312" s="701"/>
      <c r="AH312" s="701"/>
      <c r="AI312" s="701"/>
      <c r="AJ312" s="701"/>
      <c r="AK312" s="701"/>
      <c r="AL312" s="701"/>
      <c r="AM312" s="701"/>
      <c r="AN312" s="701"/>
      <c r="AO312" s="701"/>
      <c r="AP312" s="701"/>
      <c r="AQ312" s="701"/>
      <c r="AR312" s="701"/>
      <c r="AS312" s="701"/>
      <c r="AT312" s="701"/>
      <c r="AU312" s="701"/>
      <c r="AV312" s="701"/>
      <c r="AW312" s="701"/>
      <c r="AX312" s="701"/>
      <c r="AY312" s="701"/>
      <c r="AZ312" s="701"/>
      <c r="BA312" s="701"/>
      <c r="BB312" s="701"/>
      <c r="BC312" s="701"/>
      <c r="BD312" s="701"/>
    </row>
    <row r="314" spans="5:56" ht="47.45" customHeight="1" x14ac:dyDescent="0.25">
      <c r="E314" s="719" t="s">
        <v>560</v>
      </c>
      <c r="F314" s="719"/>
      <c r="G314" s="719"/>
      <c r="H314" s="719"/>
      <c r="I314" s="717" t="s">
        <v>561</v>
      </c>
      <c r="J314" s="717"/>
      <c r="K314" s="717"/>
      <c r="L314" s="717"/>
      <c r="M314" s="717"/>
      <c r="N314" s="717"/>
      <c r="O314" s="717"/>
      <c r="P314" s="717"/>
      <c r="Q314" s="717"/>
      <c r="R314" s="717"/>
      <c r="S314" s="717"/>
      <c r="T314" s="717"/>
      <c r="U314" s="717"/>
      <c r="V314" s="717"/>
      <c r="W314" s="717"/>
      <c r="X314" s="717"/>
      <c r="Y314" s="717"/>
      <c r="Z314" s="717"/>
      <c r="AA314" s="717"/>
      <c r="AB314" s="717"/>
      <c r="AC314" s="717"/>
      <c r="AD314" s="717"/>
      <c r="AE314" s="717"/>
      <c r="AF314" s="717"/>
      <c r="AG314" s="717"/>
      <c r="AH314" s="717"/>
      <c r="AI314" s="717"/>
      <c r="AJ314" s="717"/>
      <c r="AK314" s="717"/>
      <c r="AL314" s="717"/>
      <c r="AM314" s="717"/>
      <c r="AN314" s="717"/>
      <c r="AO314" s="717"/>
      <c r="AP314" s="717"/>
      <c r="AQ314" s="717"/>
      <c r="AR314" s="717"/>
      <c r="AS314" s="717"/>
      <c r="AT314" s="717"/>
      <c r="AU314" s="717"/>
      <c r="AV314" s="717"/>
      <c r="AW314" s="717"/>
      <c r="AX314" s="717"/>
      <c r="AY314" s="717"/>
      <c r="AZ314" s="717"/>
      <c r="BA314" s="717"/>
      <c r="BB314" s="717"/>
      <c r="BC314" s="717"/>
      <c r="BD314" s="717"/>
    </row>
    <row r="315" spans="5:56" ht="18" customHeight="1" x14ac:dyDescent="0.25">
      <c r="E315" s="222"/>
      <c r="F315" s="222"/>
      <c r="G315" s="222"/>
      <c r="H315" s="222"/>
    </row>
    <row r="316" spans="5:56" ht="44.45" customHeight="1" x14ac:dyDescent="0.25">
      <c r="E316" s="718" t="s">
        <v>563</v>
      </c>
      <c r="F316" s="718" t="s">
        <v>562</v>
      </c>
      <c r="G316" s="718"/>
      <c r="H316" s="718"/>
      <c r="I316" s="717" t="s">
        <v>564</v>
      </c>
      <c r="J316" s="717"/>
      <c r="K316" s="717"/>
      <c r="L316" s="717"/>
      <c r="M316" s="717"/>
      <c r="N316" s="717"/>
      <c r="O316" s="717"/>
      <c r="P316" s="717"/>
      <c r="Q316" s="717"/>
      <c r="R316" s="717"/>
      <c r="S316" s="717"/>
      <c r="T316" s="717"/>
      <c r="U316" s="717"/>
      <c r="V316" s="717"/>
      <c r="W316" s="717"/>
      <c r="X316" s="717"/>
      <c r="Y316" s="717"/>
      <c r="Z316" s="717"/>
      <c r="AA316" s="717"/>
      <c r="AB316" s="717"/>
      <c r="AC316" s="717"/>
      <c r="AD316" s="717"/>
      <c r="AE316" s="717"/>
      <c r="AF316" s="717"/>
      <c r="AG316" s="717"/>
      <c r="AH316" s="717"/>
      <c r="AI316" s="717"/>
      <c r="AJ316" s="717"/>
      <c r="AK316" s="717"/>
      <c r="AL316" s="717"/>
      <c r="AM316" s="717"/>
      <c r="AN316" s="717"/>
      <c r="AO316" s="717"/>
      <c r="AP316" s="717"/>
      <c r="AQ316" s="717"/>
      <c r="AR316" s="717"/>
      <c r="AS316" s="717"/>
      <c r="AT316" s="717"/>
      <c r="AU316" s="717"/>
      <c r="AV316" s="717"/>
      <c r="AW316" s="717"/>
      <c r="AX316" s="717"/>
      <c r="AY316" s="717"/>
      <c r="AZ316" s="717"/>
      <c r="BA316" s="717"/>
      <c r="BB316" s="717"/>
      <c r="BC316" s="717"/>
      <c r="BD316" s="717"/>
    </row>
    <row r="317" spans="5:56" ht="18" customHeight="1" x14ac:dyDescent="0.25">
      <c r="E317" s="222"/>
      <c r="F317" s="222"/>
      <c r="G317" s="222"/>
      <c r="H317" s="222"/>
    </row>
    <row r="318" spans="5:56" ht="94.9" customHeight="1" x14ac:dyDescent="0.25">
      <c r="E318" s="718" t="s">
        <v>565</v>
      </c>
      <c r="F318" s="718"/>
      <c r="G318" s="718"/>
      <c r="H318" s="718"/>
      <c r="I318" s="720" t="s">
        <v>566</v>
      </c>
      <c r="J318" s="720"/>
      <c r="K318" s="720"/>
      <c r="L318" s="720"/>
      <c r="M318" s="720"/>
      <c r="N318" s="720"/>
      <c r="O318" s="720"/>
      <c r="P318" s="720"/>
      <c r="Q318" s="720"/>
      <c r="R318" s="720"/>
      <c r="S318" s="720"/>
      <c r="T318" s="720"/>
      <c r="U318" s="720"/>
      <c r="V318" s="720"/>
      <c r="W318" s="720"/>
      <c r="X318" s="720"/>
      <c r="Y318" s="720"/>
      <c r="Z318" s="720"/>
      <c r="AA318" s="720"/>
      <c r="AB318" s="720"/>
      <c r="AC318" s="720"/>
      <c r="AD318" s="720"/>
      <c r="AE318" s="720"/>
      <c r="AF318" s="720"/>
      <c r="AG318" s="720"/>
      <c r="AH318" s="720"/>
      <c r="AI318" s="720"/>
      <c r="AJ318" s="720"/>
      <c r="AK318" s="720"/>
      <c r="AL318" s="720"/>
      <c r="AM318" s="720"/>
      <c r="AN318" s="720"/>
      <c r="AO318" s="720"/>
      <c r="AP318" s="720"/>
      <c r="AQ318" s="720"/>
      <c r="AR318" s="720"/>
      <c r="AS318" s="720"/>
      <c r="AT318" s="720"/>
      <c r="AU318" s="720"/>
      <c r="AV318" s="720"/>
      <c r="AW318" s="720"/>
      <c r="AX318" s="720"/>
      <c r="AY318" s="720"/>
      <c r="AZ318" s="720"/>
      <c r="BA318" s="720"/>
      <c r="BB318" s="720"/>
      <c r="BC318" s="720"/>
      <c r="BD318" s="720"/>
    </row>
    <row r="319" spans="5:56" ht="41.45" customHeight="1" x14ac:dyDescent="0.25">
      <c r="E319" s="718" t="s">
        <v>88</v>
      </c>
      <c r="F319" s="718"/>
      <c r="G319" s="718"/>
      <c r="H319" s="718"/>
      <c r="I319" s="717" t="s">
        <v>567</v>
      </c>
      <c r="J319" s="717"/>
      <c r="K319" s="717"/>
      <c r="L319" s="717"/>
      <c r="M319" s="717"/>
      <c r="N319" s="717"/>
      <c r="O319" s="717"/>
      <c r="P319" s="717"/>
      <c r="Q319" s="717"/>
      <c r="R319" s="717"/>
      <c r="S319" s="717"/>
      <c r="T319" s="717"/>
      <c r="U319" s="717"/>
      <c r="V319" s="717"/>
      <c r="W319" s="717"/>
      <c r="X319" s="717"/>
      <c r="Y319" s="717"/>
      <c r="Z319" s="717"/>
      <c r="AA319" s="717"/>
      <c r="AB319" s="717"/>
      <c r="AC319" s="717"/>
      <c r="AD319" s="717"/>
      <c r="AE319" s="717"/>
      <c r="AF319" s="717"/>
      <c r="AG319" s="717"/>
      <c r="AH319" s="717"/>
      <c r="AI319" s="717"/>
      <c r="AJ319" s="717"/>
      <c r="AK319" s="717"/>
      <c r="AL319" s="717"/>
      <c r="AM319" s="717"/>
      <c r="AN319" s="717"/>
      <c r="AO319" s="717"/>
      <c r="AP319" s="717"/>
      <c r="AQ319" s="717"/>
      <c r="AR319" s="717"/>
      <c r="AS319" s="717"/>
      <c r="AT319" s="717"/>
      <c r="AU319" s="717"/>
      <c r="AV319" s="717"/>
      <c r="AW319" s="717"/>
      <c r="AX319" s="717"/>
      <c r="AY319" s="717"/>
      <c r="AZ319" s="717"/>
      <c r="BA319" s="717"/>
      <c r="BB319" s="717"/>
      <c r="BC319" s="717"/>
      <c r="BD319" s="717"/>
    </row>
    <row r="320" spans="5:56" ht="41.45" customHeight="1" x14ac:dyDescent="0.25">
      <c r="E320" s="718" t="s">
        <v>89</v>
      </c>
      <c r="F320" s="718"/>
      <c r="G320" s="718"/>
      <c r="H320" s="718"/>
      <c r="I320" s="717" t="s">
        <v>568</v>
      </c>
      <c r="J320" s="717"/>
      <c r="K320" s="717"/>
      <c r="L320" s="717"/>
      <c r="M320" s="717"/>
      <c r="N320" s="717"/>
      <c r="O320" s="717"/>
      <c r="P320" s="717"/>
      <c r="Q320" s="717"/>
      <c r="R320" s="717"/>
      <c r="S320" s="717"/>
      <c r="T320" s="717"/>
      <c r="U320" s="717"/>
      <c r="V320" s="717"/>
      <c r="W320" s="717"/>
      <c r="X320" s="717"/>
      <c r="Y320" s="717"/>
      <c r="Z320" s="717"/>
      <c r="AA320" s="717"/>
      <c r="AB320" s="717"/>
      <c r="AC320" s="717"/>
      <c r="AD320" s="717"/>
      <c r="AE320" s="717"/>
      <c r="AF320" s="717"/>
      <c r="AG320" s="717"/>
      <c r="AH320" s="717"/>
      <c r="AI320" s="717"/>
      <c r="AJ320" s="717"/>
      <c r="AK320" s="717"/>
      <c r="AL320" s="717"/>
      <c r="AM320" s="717"/>
      <c r="AN320" s="717"/>
      <c r="AO320" s="717"/>
      <c r="AP320" s="717"/>
      <c r="AQ320" s="717"/>
      <c r="AR320" s="717"/>
      <c r="AS320" s="717"/>
      <c r="AT320" s="717"/>
      <c r="AU320" s="717"/>
      <c r="AV320" s="717"/>
      <c r="AW320" s="717"/>
      <c r="AX320" s="717"/>
      <c r="AY320" s="717"/>
      <c r="AZ320" s="717"/>
      <c r="BA320" s="717"/>
      <c r="BB320" s="717"/>
      <c r="BC320" s="717"/>
      <c r="BD320" s="717"/>
    </row>
    <row r="321" spans="5:56" ht="41.45" customHeight="1" x14ac:dyDescent="0.25">
      <c r="E321" s="718" t="s">
        <v>90</v>
      </c>
      <c r="F321" s="718"/>
      <c r="G321" s="718"/>
      <c r="H321" s="718"/>
      <c r="I321" s="717" t="s">
        <v>569</v>
      </c>
      <c r="J321" s="717"/>
      <c r="K321" s="717"/>
      <c r="L321" s="717"/>
      <c r="M321" s="717"/>
      <c r="N321" s="717"/>
      <c r="O321" s="717"/>
      <c r="P321" s="717"/>
      <c r="Q321" s="717"/>
      <c r="R321" s="717"/>
      <c r="S321" s="717"/>
      <c r="T321" s="717"/>
      <c r="U321" s="717"/>
      <c r="V321" s="717"/>
      <c r="W321" s="717"/>
      <c r="X321" s="717"/>
      <c r="Y321" s="717"/>
      <c r="Z321" s="717"/>
      <c r="AA321" s="717"/>
      <c r="AB321" s="717"/>
      <c r="AC321" s="717"/>
      <c r="AD321" s="717"/>
      <c r="AE321" s="717"/>
      <c r="AF321" s="717"/>
      <c r="AG321" s="717"/>
      <c r="AH321" s="717"/>
      <c r="AI321" s="717"/>
      <c r="AJ321" s="717"/>
      <c r="AK321" s="717"/>
      <c r="AL321" s="717"/>
      <c r="AM321" s="717"/>
      <c r="AN321" s="717"/>
      <c r="AO321" s="717"/>
      <c r="AP321" s="717"/>
      <c r="AQ321" s="717"/>
      <c r="AR321" s="717"/>
      <c r="AS321" s="717"/>
      <c r="AT321" s="717"/>
      <c r="AU321" s="717"/>
      <c r="AV321" s="717"/>
      <c r="AW321" s="717"/>
      <c r="AX321" s="717"/>
      <c r="AY321" s="717"/>
      <c r="AZ321" s="717"/>
      <c r="BA321" s="717"/>
      <c r="BB321" s="717"/>
      <c r="BC321" s="717"/>
      <c r="BD321" s="717"/>
    </row>
    <row r="322" spans="5:56" ht="41.45" customHeight="1" x14ac:dyDescent="0.25">
      <c r="E322" s="718" t="s">
        <v>91</v>
      </c>
      <c r="F322" s="718"/>
      <c r="G322" s="718"/>
      <c r="H322" s="718"/>
      <c r="I322" s="717" t="s">
        <v>570</v>
      </c>
      <c r="J322" s="717"/>
      <c r="K322" s="717"/>
      <c r="L322" s="717"/>
      <c r="M322" s="717"/>
      <c r="N322" s="717"/>
      <c r="O322" s="717"/>
      <c r="P322" s="717"/>
      <c r="Q322" s="717"/>
      <c r="R322" s="717"/>
      <c r="S322" s="717"/>
      <c r="T322" s="717"/>
      <c r="U322" s="717"/>
      <c r="V322" s="717"/>
      <c r="W322" s="717"/>
      <c r="X322" s="717"/>
      <c r="Y322" s="717"/>
      <c r="Z322" s="717"/>
      <c r="AA322" s="717"/>
      <c r="AB322" s="717"/>
      <c r="AC322" s="717"/>
      <c r="AD322" s="717"/>
      <c r="AE322" s="717"/>
      <c r="AF322" s="717"/>
      <c r="AG322" s="717"/>
      <c r="AH322" s="717"/>
      <c r="AI322" s="717"/>
      <c r="AJ322" s="717"/>
      <c r="AK322" s="717"/>
      <c r="AL322" s="717"/>
      <c r="AM322" s="717"/>
      <c r="AN322" s="717"/>
      <c r="AO322" s="717"/>
      <c r="AP322" s="717"/>
      <c r="AQ322" s="717"/>
      <c r="AR322" s="717"/>
      <c r="AS322" s="717"/>
      <c r="AT322" s="717"/>
      <c r="AU322" s="717"/>
      <c r="AV322" s="717"/>
      <c r="AW322" s="717"/>
      <c r="AX322" s="717"/>
      <c r="AY322" s="717"/>
      <c r="AZ322" s="717"/>
      <c r="BA322" s="717"/>
      <c r="BB322" s="717"/>
      <c r="BC322" s="717"/>
      <c r="BD322" s="717"/>
    </row>
    <row r="323" spans="5:56" ht="18" customHeight="1" x14ac:dyDescent="0.25">
      <c r="E323" s="222"/>
      <c r="F323" s="222"/>
      <c r="G323" s="222"/>
      <c r="H323" s="222"/>
    </row>
    <row r="324" spans="5:56" ht="45" customHeight="1" x14ac:dyDescent="0.25">
      <c r="E324" s="699" t="s">
        <v>92</v>
      </c>
      <c r="F324" s="699"/>
      <c r="G324" s="699"/>
      <c r="H324" s="699"/>
      <c r="I324" s="717" t="s">
        <v>571</v>
      </c>
      <c r="J324" s="717"/>
      <c r="K324" s="717"/>
      <c r="L324" s="717"/>
      <c r="M324" s="717"/>
      <c r="N324" s="717"/>
      <c r="O324" s="717"/>
      <c r="P324" s="717"/>
      <c r="Q324" s="717"/>
      <c r="R324" s="717"/>
      <c r="S324" s="717"/>
      <c r="T324" s="717"/>
      <c r="U324" s="717"/>
      <c r="V324" s="717"/>
      <c r="W324" s="717"/>
      <c r="X324" s="717"/>
      <c r="Y324" s="717"/>
      <c r="Z324" s="717"/>
      <c r="AA324" s="717"/>
      <c r="AB324" s="717"/>
      <c r="AC324" s="717"/>
      <c r="AD324" s="717"/>
      <c r="AE324" s="717"/>
      <c r="AF324" s="717"/>
      <c r="AG324" s="717"/>
      <c r="AH324" s="717"/>
      <c r="AI324" s="717"/>
      <c r="AJ324" s="717"/>
      <c r="AK324" s="717"/>
      <c r="AL324" s="717"/>
      <c r="AM324" s="717"/>
      <c r="AN324" s="717"/>
      <c r="AO324" s="717"/>
      <c r="AP324" s="717"/>
      <c r="AQ324" s="717"/>
      <c r="AR324" s="717"/>
      <c r="AS324" s="717"/>
      <c r="AT324" s="717"/>
      <c r="AU324" s="717"/>
      <c r="AV324" s="717"/>
      <c r="AW324" s="717"/>
      <c r="AX324" s="717"/>
      <c r="AY324" s="717"/>
      <c r="AZ324" s="717"/>
      <c r="BA324" s="717"/>
      <c r="BB324" s="717"/>
      <c r="BC324" s="717"/>
      <c r="BD324" s="717"/>
    </row>
    <row r="325" spans="5:56" ht="18" customHeight="1" x14ac:dyDescent="0.25">
      <c r="E325" s="222"/>
      <c r="F325" s="222"/>
      <c r="G325" s="222"/>
      <c r="H325" s="222"/>
    </row>
    <row r="326" spans="5:56" ht="46.15" customHeight="1" x14ac:dyDescent="0.25">
      <c r="E326" s="699" t="s">
        <v>94</v>
      </c>
      <c r="F326" s="699"/>
      <c r="G326" s="699"/>
      <c r="H326" s="699"/>
      <c r="I326" s="717" t="s">
        <v>572</v>
      </c>
      <c r="J326" s="717"/>
      <c r="K326" s="717"/>
      <c r="L326" s="717"/>
      <c r="M326" s="717"/>
      <c r="N326" s="717"/>
      <c r="O326" s="717"/>
      <c r="P326" s="717"/>
      <c r="Q326" s="717"/>
      <c r="R326" s="717"/>
      <c r="S326" s="717"/>
      <c r="T326" s="717"/>
      <c r="U326" s="717"/>
      <c r="V326" s="717"/>
      <c r="W326" s="717"/>
      <c r="X326" s="717"/>
      <c r="Y326" s="717"/>
      <c r="Z326" s="717"/>
      <c r="AA326" s="717"/>
      <c r="AB326" s="717"/>
      <c r="AC326" s="717"/>
      <c r="AD326" s="717"/>
      <c r="AE326" s="717"/>
      <c r="AF326" s="717"/>
      <c r="AG326" s="717"/>
      <c r="AH326" s="717"/>
      <c r="AI326" s="717"/>
      <c r="AJ326" s="717"/>
      <c r="AK326" s="717"/>
      <c r="AL326" s="717"/>
      <c r="AM326" s="717"/>
      <c r="AN326" s="717"/>
      <c r="AO326" s="717"/>
      <c r="AP326" s="717"/>
      <c r="AQ326" s="717"/>
      <c r="AR326" s="717"/>
      <c r="AS326" s="717"/>
      <c r="AT326" s="717"/>
      <c r="AU326" s="717"/>
      <c r="AV326" s="717"/>
      <c r="AW326" s="717"/>
      <c r="AX326" s="717"/>
      <c r="AY326" s="717"/>
      <c r="AZ326" s="717"/>
      <c r="BA326" s="717"/>
      <c r="BB326" s="717"/>
      <c r="BC326" s="717"/>
      <c r="BD326" s="717"/>
    </row>
    <row r="327" spans="5:56" ht="46.15" customHeight="1" x14ac:dyDescent="0.25">
      <c r="E327" s="699" t="s">
        <v>95</v>
      </c>
      <c r="F327" s="699"/>
      <c r="G327" s="699"/>
      <c r="H327" s="699"/>
      <c r="I327" s="717" t="s">
        <v>573</v>
      </c>
      <c r="J327" s="717"/>
      <c r="K327" s="717"/>
      <c r="L327" s="717"/>
      <c r="M327" s="717"/>
      <c r="N327" s="717"/>
      <c r="O327" s="717"/>
      <c r="P327" s="717"/>
      <c r="Q327" s="717"/>
      <c r="R327" s="717"/>
      <c r="S327" s="717"/>
      <c r="T327" s="717"/>
      <c r="U327" s="717"/>
      <c r="V327" s="717"/>
      <c r="W327" s="717"/>
      <c r="X327" s="717"/>
      <c r="Y327" s="717"/>
      <c r="Z327" s="717"/>
      <c r="AA327" s="717"/>
      <c r="AB327" s="717"/>
      <c r="AC327" s="717"/>
      <c r="AD327" s="717"/>
      <c r="AE327" s="717"/>
      <c r="AF327" s="717"/>
      <c r="AG327" s="717"/>
      <c r="AH327" s="717"/>
      <c r="AI327" s="717"/>
      <c r="AJ327" s="717"/>
      <c r="AK327" s="717"/>
      <c r="AL327" s="717"/>
      <c r="AM327" s="717"/>
      <c r="AN327" s="717"/>
      <c r="AO327" s="717"/>
      <c r="AP327" s="717"/>
      <c r="AQ327" s="717"/>
      <c r="AR327" s="717"/>
      <c r="AS327" s="717"/>
      <c r="AT327" s="717"/>
      <c r="AU327" s="717"/>
      <c r="AV327" s="717"/>
      <c r="AW327" s="717"/>
      <c r="AX327" s="717"/>
      <c r="AY327" s="717"/>
      <c r="AZ327" s="717"/>
      <c r="BA327" s="717"/>
      <c r="BB327" s="717"/>
      <c r="BC327" s="717"/>
      <c r="BD327" s="717"/>
    </row>
    <row r="328" spans="5:56" ht="46.15" customHeight="1" x14ac:dyDescent="0.25">
      <c r="E328" s="699" t="s">
        <v>96</v>
      </c>
      <c r="F328" s="699"/>
      <c r="G328" s="699"/>
      <c r="H328" s="699"/>
      <c r="I328" s="717" t="s">
        <v>574</v>
      </c>
      <c r="J328" s="717"/>
      <c r="K328" s="717"/>
      <c r="L328" s="717"/>
      <c r="M328" s="717"/>
      <c r="N328" s="717"/>
      <c r="O328" s="717"/>
      <c r="P328" s="717"/>
      <c r="Q328" s="717"/>
      <c r="R328" s="717"/>
      <c r="S328" s="717"/>
      <c r="T328" s="717"/>
      <c r="U328" s="717"/>
      <c r="V328" s="717"/>
      <c r="W328" s="717"/>
      <c r="X328" s="717"/>
      <c r="Y328" s="717"/>
      <c r="Z328" s="717"/>
      <c r="AA328" s="717"/>
      <c r="AB328" s="717"/>
      <c r="AC328" s="717"/>
      <c r="AD328" s="717"/>
      <c r="AE328" s="717"/>
      <c r="AF328" s="717"/>
      <c r="AG328" s="717"/>
      <c r="AH328" s="717"/>
      <c r="AI328" s="717"/>
      <c r="AJ328" s="717"/>
      <c r="AK328" s="717"/>
      <c r="AL328" s="717"/>
      <c r="AM328" s="717"/>
      <c r="AN328" s="717"/>
      <c r="AO328" s="717"/>
      <c r="AP328" s="717"/>
      <c r="AQ328" s="717"/>
      <c r="AR328" s="717"/>
      <c r="AS328" s="717"/>
      <c r="AT328" s="717"/>
      <c r="AU328" s="717"/>
      <c r="AV328" s="717"/>
      <c r="AW328" s="717"/>
      <c r="AX328" s="717"/>
      <c r="AY328" s="717"/>
      <c r="AZ328" s="717"/>
      <c r="BA328" s="717"/>
      <c r="BB328" s="717"/>
      <c r="BC328" s="717"/>
      <c r="BD328" s="717"/>
    </row>
    <row r="330" spans="5:56" ht="18" customHeight="1" x14ac:dyDescent="0.25">
      <c r="E330" s="715" t="s">
        <v>575</v>
      </c>
      <c r="F330" s="715"/>
      <c r="G330" s="715"/>
      <c r="H330" s="715"/>
      <c r="I330" s="715"/>
      <c r="J330" s="715"/>
      <c r="K330" s="715"/>
      <c r="L330" s="715"/>
      <c r="M330" s="715"/>
      <c r="N330" s="715"/>
      <c r="O330" s="715"/>
      <c r="P330" s="715"/>
      <c r="Q330" s="715"/>
      <c r="R330" s="715"/>
      <c r="S330" s="715"/>
      <c r="T330" s="715"/>
      <c r="U330" s="715"/>
      <c r="V330" s="715"/>
      <c r="W330" s="715"/>
      <c r="X330" s="715"/>
      <c r="Y330" s="715"/>
      <c r="Z330" s="715"/>
      <c r="AA330" s="715"/>
      <c r="AB330" s="715"/>
      <c r="AC330" s="715"/>
      <c r="AD330" s="715"/>
      <c r="AE330" s="715"/>
      <c r="AF330" s="715"/>
      <c r="AG330" s="715"/>
      <c r="AH330" s="715"/>
      <c r="AI330" s="715"/>
      <c r="AJ330" s="715"/>
      <c r="AK330" s="715"/>
      <c r="AL330" s="715"/>
      <c r="AM330" s="715"/>
      <c r="AN330" s="715"/>
      <c r="AO330" s="715"/>
      <c r="AP330" s="715"/>
      <c r="AQ330" s="715"/>
      <c r="AR330" s="715"/>
      <c r="AS330" s="715"/>
      <c r="AT330" s="715"/>
      <c r="AU330" s="715"/>
      <c r="AV330" s="715"/>
      <c r="AW330" s="715"/>
      <c r="AX330" s="715"/>
      <c r="AY330" s="715"/>
      <c r="AZ330" s="715"/>
      <c r="BA330" s="715"/>
      <c r="BB330" s="715"/>
      <c r="BC330" s="715"/>
      <c r="BD330" s="715"/>
    </row>
    <row r="331" spans="5:56" ht="18" customHeight="1" x14ac:dyDescent="0.25">
      <c r="E331" s="716" t="s">
        <v>576</v>
      </c>
      <c r="F331" s="716"/>
      <c r="G331" s="716"/>
      <c r="H331" s="716"/>
      <c r="I331" s="716"/>
      <c r="J331" s="716"/>
      <c r="K331" s="716"/>
      <c r="L331" s="716"/>
      <c r="M331" s="716"/>
      <c r="N331" s="716"/>
      <c r="O331" s="716"/>
      <c r="P331" s="716"/>
      <c r="Q331" s="716"/>
      <c r="R331" s="716"/>
      <c r="S331" s="716"/>
      <c r="T331" s="716"/>
      <c r="U331" s="716"/>
      <c r="V331" s="716"/>
      <c r="W331" s="716"/>
      <c r="X331" s="716"/>
      <c r="Y331" s="716"/>
      <c r="Z331" s="716"/>
      <c r="AA331" s="716"/>
      <c r="AB331" s="716"/>
      <c r="AC331" s="716"/>
      <c r="AD331" s="716"/>
      <c r="AE331" s="716"/>
      <c r="AF331" s="716"/>
      <c r="AG331" s="716"/>
      <c r="AH331" s="716"/>
      <c r="AI331" s="716"/>
      <c r="AJ331" s="716"/>
      <c r="AK331" s="716"/>
      <c r="AL331" s="716"/>
      <c r="AM331" s="716"/>
      <c r="AN331" s="716"/>
      <c r="AO331" s="716"/>
      <c r="AP331" s="716"/>
      <c r="AQ331" s="716"/>
      <c r="AR331" s="716"/>
      <c r="AS331" s="716"/>
      <c r="AT331" s="716"/>
      <c r="AU331" s="716"/>
      <c r="AV331" s="716"/>
      <c r="AW331" s="716"/>
      <c r="AX331" s="716"/>
      <c r="AY331" s="716"/>
      <c r="AZ331" s="716"/>
      <c r="BA331" s="716"/>
      <c r="BB331" s="716"/>
      <c r="BC331" s="716"/>
      <c r="BD331" s="716"/>
    </row>
    <row r="332" spans="5:56" ht="18" customHeight="1" x14ac:dyDescent="0.25">
      <c r="E332" s="714" t="s">
        <v>577</v>
      </c>
      <c r="F332" s="714"/>
      <c r="G332" s="714"/>
      <c r="H332" s="714"/>
      <c r="I332" s="714"/>
      <c r="J332" s="714"/>
      <c r="K332" s="714"/>
      <c r="L332" s="714"/>
      <c r="M332" s="714"/>
      <c r="N332" s="714"/>
      <c r="O332" s="714"/>
      <c r="P332" s="714"/>
      <c r="Q332" s="714"/>
      <c r="R332" s="714"/>
      <c r="S332" s="714"/>
      <c r="T332" s="714"/>
      <c r="U332" s="714"/>
      <c r="V332" s="714"/>
      <c r="W332" s="714"/>
      <c r="X332" s="714"/>
      <c r="Y332" s="714"/>
      <c r="Z332" s="714"/>
      <c r="AA332" s="714"/>
      <c r="AB332" s="714"/>
      <c r="AC332" s="714"/>
      <c r="AD332" s="714"/>
      <c r="AE332" s="714"/>
      <c r="AF332" s="714"/>
      <c r="AG332" s="714"/>
      <c r="AH332" s="714"/>
      <c r="AI332" s="714"/>
      <c r="AJ332" s="714"/>
      <c r="AK332" s="714"/>
      <c r="AL332" s="714"/>
      <c r="AM332" s="714"/>
      <c r="AN332" s="714"/>
      <c r="AO332" s="714"/>
      <c r="AP332" s="714"/>
      <c r="AQ332" s="714"/>
      <c r="AR332" s="714"/>
      <c r="AS332" s="714"/>
      <c r="AT332" s="714"/>
      <c r="AU332" s="714"/>
      <c r="AV332" s="714"/>
      <c r="AW332" s="714"/>
      <c r="AX332" s="714"/>
      <c r="AY332" s="714"/>
      <c r="AZ332" s="714"/>
      <c r="BA332" s="714"/>
      <c r="BB332" s="714"/>
      <c r="BC332" s="714"/>
      <c r="BD332" s="714"/>
    </row>
    <row r="333" spans="5:56" ht="60" customHeight="1" x14ac:dyDescent="0.25">
      <c r="E333" s="704" t="s">
        <v>578</v>
      </c>
      <c r="F333" s="704"/>
      <c r="G333" s="704"/>
      <c r="H333" s="704"/>
      <c r="I333" s="705" t="s">
        <v>579</v>
      </c>
      <c r="J333" s="705"/>
      <c r="K333" s="705"/>
      <c r="L333" s="705"/>
      <c r="M333" s="705"/>
      <c r="N333" s="705"/>
      <c r="O333" s="705"/>
      <c r="P333" s="705"/>
      <c r="Q333" s="705"/>
      <c r="R333" s="705"/>
      <c r="S333" s="705"/>
      <c r="T333" s="705"/>
      <c r="U333" s="705"/>
      <c r="V333" s="705"/>
      <c r="W333" s="705"/>
      <c r="X333" s="705"/>
      <c r="Y333" s="705"/>
      <c r="Z333" s="705"/>
      <c r="AA333" s="705"/>
      <c r="AB333" s="705"/>
      <c r="AC333" s="705"/>
      <c r="AD333" s="705"/>
      <c r="AE333" s="705"/>
      <c r="AF333" s="705"/>
      <c r="AG333" s="705"/>
      <c r="AH333" s="705"/>
      <c r="AI333" s="705"/>
      <c r="AJ333" s="705"/>
      <c r="AK333" s="705"/>
      <c r="AL333" s="705"/>
      <c r="AM333" s="705"/>
      <c r="AN333" s="705"/>
      <c r="AO333" s="705"/>
      <c r="AP333" s="705"/>
      <c r="AQ333" s="705"/>
      <c r="AR333" s="705"/>
      <c r="AS333" s="705"/>
      <c r="AT333" s="705"/>
      <c r="AU333" s="705"/>
      <c r="AV333" s="705"/>
      <c r="AW333" s="705"/>
      <c r="AX333" s="705"/>
      <c r="AY333" s="705"/>
      <c r="AZ333" s="705"/>
      <c r="BA333" s="705"/>
      <c r="BB333" s="705"/>
      <c r="BC333" s="705"/>
      <c r="BD333" s="705"/>
    </row>
    <row r="334" spans="5:56" ht="58.15" customHeight="1" x14ac:dyDescent="0.25">
      <c r="E334" s="704" t="s">
        <v>580</v>
      </c>
      <c r="F334" s="704"/>
      <c r="G334" s="704"/>
      <c r="H334" s="704"/>
      <c r="I334" s="705" t="s">
        <v>581</v>
      </c>
      <c r="J334" s="705"/>
      <c r="K334" s="705"/>
      <c r="L334" s="705"/>
      <c r="M334" s="705"/>
      <c r="N334" s="705"/>
      <c r="O334" s="705"/>
      <c r="P334" s="705"/>
      <c r="Q334" s="705"/>
      <c r="R334" s="705"/>
      <c r="S334" s="705"/>
      <c r="T334" s="705"/>
      <c r="U334" s="705"/>
      <c r="V334" s="705"/>
      <c r="W334" s="705"/>
      <c r="X334" s="705"/>
      <c r="Y334" s="705"/>
      <c r="Z334" s="705"/>
      <c r="AA334" s="705"/>
      <c r="AB334" s="705"/>
      <c r="AC334" s="705"/>
      <c r="AD334" s="705"/>
      <c r="AE334" s="705"/>
      <c r="AF334" s="705"/>
      <c r="AG334" s="705"/>
      <c r="AH334" s="705"/>
      <c r="AI334" s="705"/>
      <c r="AJ334" s="705"/>
      <c r="AK334" s="705"/>
      <c r="AL334" s="705"/>
      <c r="AM334" s="705"/>
      <c r="AN334" s="705"/>
      <c r="AO334" s="705"/>
      <c r="AP334" s="705"/>
      <c r="AQ334" s="705"/>
      <c r="AR334" s="705"/>
      <c r="AS334" s="705"/>
      <c r="AT334" s="705"/>
      <c r="AU334" s="705"/>
      <c r="AV334" s="705"/>
      <c r="AW334" s="705"/>
      <c r="AX334" s="705"/>
      <c r="AY334" s="705"/>
      <c r="AZ334" s="705"/>
      <c r="BA334" s="705"/>
      <c r="BB334" s="705"/>
      <c r="BC334" s="705"/>
      <c r="BD334" s="705"/>
    </row>
    <row r="335" spans="5:56" ht="18" customHeight="1" x14ac:dyDescent="0.25">
      <c r="E335" s="711" t="s">
        <v>582</v>
      </c>
      <c r="F335" s="711"/>
      <c r="G335" s="711"/>
      <c r="H335" s="711"/>
      <c r="I335" s="711"/>
      <c r="J335" s="711"/>
      <c r="K335" s="711"/>
      <c r="L335" s="711"/>
      <c r="M335" s="711"/>
      <c r="N335" s="711"/>
      <c r="O335" s="711"/>
      <c r="P335" s="711"/>
      <c r="Q335" s="711"/>
      <c r="R335" s="711"/>
      <c r="S335" s="711"/>
      <c r="T335" s="711"/>
      <c r="U335" s="711"/>
      <c r="V335" s="711"/>
      <c r="W335" s="711"/>
      <c r="X335" s="711"/>
      <c r="Y335" s="711"/>
      <c r="Z335" s="711"/>
      <c r="AA335" s="711"/>
      <c r="AB335" s="711"/>
      <c r="AC335" s="711"/>
      <c r="AD335" s="711"/>
      <c r="AE335" s="711"/>
      <c r="AF335" s="711"/>
      <c r="AG335" s="711"/>
      <c r="AH335" s="711"/>
      <c r="AI335" s="711"/>
      <c r="AJ335" s="711"/>
      <c r="AK335" s="711"/>
      <c r="AL335" s="711"/>
      <c r="AM335" s="711"/>
      <c r="AN335" s="711"/>
      <c r="AO335" s="711"/>
      <c r="AP335" s="711"/>
      <c r="AQ335" s="711"/>
      <c r="AR335" s="711"/>
      <c r="AS335" s="711"/>
      <c r="AT335" s="711"/>
      <c r="AU335" s="711"/>
      <c r="AV335" s="711"/>
      <c r="AW335" s="711"/>
      <c r="AX335" s="711"/>
      <c r="AY335" s="711"/>
      <c r="AZ335" s="711"/>
      <c r="BA335" s="711"/>
      <c r="BB335" s="711"/>
      <c r="BC335" s="711"/>
      <c r="BD335" s="711"/>
    </row>
    <row r="336" spans="5:56" ht="29.45" customHeight="1" x14ac:dyDescent="0.25">
      <c r="E336" s="702" t="s">
        <v>583</v>
      </c>
      <c r="F336" s="702"/>
      <c r="G336" s="702"/>
      <c r="H336" s="702"/>
      <c r="I336" s="713" t="s">
        <v>584</v>
      </c>
      <c r="J336" s="713"/>
      <c r="K336" s="713"/>
      <c r="L336" s="713"/>
      <c r="M336" s="713"/>
      <c r="N336" s="713"/>
      <c r="O336" s="713"/>
      <c r="P336" s="713"/>
      <c r="Q336" s="713"/>
      <c r="R336" s="713"/>
      <c r="S336" s="713"/>
      <c r="T336" s="713"/>
      <c r="U336" s="713"/>
      <c r="V336" s="713"/>
      <c r="W336" s="713"/>
      <c r="X336" s="713"/>
      <c r="Y336" s="713"/>
      <c r="Z336" s="713"/>
      <c r="AA336" s="713"/>
      <c r="AB336" s="713"/>
      <c r="AC336" s="713"/>
      <c r="AD336" s="713"/>
      <c r="AE336" s="713"/>
      <c r="AF336" s="713"/>
      <c r="AG336" s="713"/>
      <c r="AH336" s="713"/>
      <c r="AI336" s="713"/>
      <c r="AJ336" s="713"/>
      <c r="AK336" s="713"/>
      <c r="AL336" s="713"/>
      <c r="AM336" s="713"/>
      <c r="AN336" s="713"/>
      <c r="AO336" s="713"/>
      <c r="AP336" s="713"/>
      <c r="AQ336" s="713"/>
      <c r="AR336" s="713"/>
      <c r="AS336" s="713"/>
      <c r="AT336" s="713"/>
      <c r="AU336" s="713"/>
      <c r="AV336" s="713"/>
      <c r="AW336" s="713"/>
      <c r="AX336" s="713"/>
      <c r="AY336" s="713"/>
      <c r="AZ336" s="713"/>
      <c r="BA336" s="713"/>
      <c r="BB336" s="713"/>
      <c r="BC336" s="713"/>
      <c r="BD336" s="713"/>
    </row>
    <row r="337" spans="5:56" ht="29.45" customHeight="1" x14ac:dyDescent="0.25">
      <c r="E337" s="702" t="s">
        <v>585</v>
      </c>
      <c r="F337" s="702"/>
      <c r="G337" s="702"/>
      <c r="H337" s="702"/>
      <c r="I337" s="713" t="s">
        <v>586</v>
      </c>
      <c r="J337" s="713"/>
      <c r="K337" s="713"/>
      <c r="L337" s="713"/>
      <c r="M337" s="713"/>
      <c r="N337" s="713"/>
      <c r="O337" s="713"/>
      <c r="P337" s="713"/>
      <c r="Q337" s="713"/>
      <c r="R337" s="713"/>
      <c r="S337" s="713"/>
      <c r="T337" s="713"/>
      <c r="U337" s="713"/>
      <c r="V337" s="713"/>
      <c r="W337" s="713"/>
      <c r="X337" s="713"/>
      <c r="Y337" s="713"/>
      <c r="Z337" s="713"/>
      <c r="AA337" s="713"/>
      <c r="AB337" s="713"/>
      <c r="AC337" s="713"/>
      <c r="AD337" s="713"/>
      <c r="AE337" s="713"/>
      <c r="AF337" s="713"/>
      <c r="AG337" s="713"/>
      <c r="AH337" s="713"/>
      <c r="AI337" s="713"/>
      <c r="AJ337" s="713"/>
      <c r="AK337" s="713"/>
      <c r="AL337" s="713"/>
      <c r="AM337" s="713"/>
      <c r="AN337" s="713"/>
      <c r="AO337" s="713"/>
      <c r="AP337" s="713"/>
      <c r="AQ337" s="713"/>
      <c r="AR337" s="713"/>
      <c r="AS337" s="713"/>
      <c r="AT337" s="713"/>
      <c r="AU337" s="713"/>
      <c r="AV337" s="713"/>
      <c r="AW337" s="713"/>
      <c r="AX337" s="713"/>
      <c r="AY337" s="713"/>
      <c r="AZ337" s="713"/>
      <c r="BA337" s="713"/>
      <c r="BB337" s="713"/>
      <c r="BC337" s="713"/>
      <c r="BD337" s="713"/>
    </row>
    <row r="339" spans="5:56" ht="18" customHeight="1" x14ac:dyDescent="0.25">
      <c r="E339" s="706" t="s">
        <v>97</v>
      </c>
      <c r="F339" s="706"/>
      <c r="G339" s="706"/>
      <c r="H339" s="706"/>
      <c r="I339" s="706"/>
      <c r="J339" s="706"/>
      <c r="K339" s="706"/>
      <c r="L339" s="706"/>
      <c r="M339" s="706"/>
      <c r="N339" s="706"/>
      <c r="O339" s="706"/>
      <c r="P339" s="706"/>
      <c r="Q339" s="706"/>
      <c r="R339" s="706"/>
      <c r="S339" s="706"/>
      <c r="T339" s="706"/>
      <c r="U339" s="706"/>
      <c r="V339" s="706"/>
      <c r="W339" s="706"/>
      <c r="X339" s="706"/>
      <c r="Y339" s="706"/>
      <c r="Z339" s="706"/>
      <c r="AA339" s="706"/>
      <c r="AB339" s="706"/>
      <c r="AC339" s="706"/>
      <c r="AD339" s="706"/>
      <c r="AE339" s="706"/>
      <c r="AF339" s="706"/>
      <c r="AG339" s="706"/>
      <c r="AH339" s="706"/>
      <c r="AI339" s="706"/>
      <c r="AJ339" s="706"/>
      <c r="AK339" s="706"/>
      <c r="AL339" s="706"/>
      <c r="AM339" s="706"/>
      <c r="AN339" s="706"/>
      <c r="AO339" s="706"/>
      <c r="AP339" s="706"/>
      <c r="AQ339" s="706"/>
      <c r="AR339" s="706"/>
      <c r="AS339" s="706"/>
      <c r="AT339" s="706"/>
      <c r="AU339" s="706"/>
      <c r="AV339" s="706"/>
      <c r="AW339" s="706"/>
      <c r="AX339" s="706"/>
      <c r="AY339" s="706"/>
      <c r="AZ339" s="706"/>
      <c r="BA339" s="706"/>
      <c r="BB339" s="706"/>
      <c r="BC339" s="706"/>
      <c r="BD339" s="706"/>
    </row>
    <row r="340" spans="5:56" ht="42.6" customHeight="1" x14ac:dyDescent="0.25">
      <c r="E340" s="699" t="s">
        <v>98</v>
      </c>
      <c r="F340" s="699"/>
      <c r="G340" s="699"/>
      <c r="H340" s="699"/>
      <c r="I340" s="700" t="s">
        <v>587</v>
      </c>
      <c r="J340" s="700"/>
      <c r="K340" s="700"/>
      <c r="L340" s="700"/>
      <c r="M340" s="700"/>
      <c r="N340" s="700"/>
      <c r="O340" s="700"/>
      <c r="P340" s="700"/>
      <c r="Q340" s="700"/>
      <c r="R340" s="700"/>
      <c r="S340" s="700"/>
      <c r="T340" s="700"/>
      <c r="U340" s="700"/>
      <c r="V340" s="700"/>
      <c r="W340" s="700"/>
      <c r="X340" s="700"/>
      <c r="Y340" s="700"/>
      <c r="Z340" s="700"/>
      <c r="AA340" s="700"/>
      <c r="AB340" s="700"/>
      <c r="AC340" s="700"/>
      <c r="AD340" s="700"/>
      <c r="AE340" s="700"/>
      <c r="AF340" s="700"/>
      <c r="AG340" s="700"/>
      <c r="AH340" s="700"/>
      <c r="AI340" s="700"/>
      <c r="AJ340" s="700"/>
      <c r="AK340" s="700"/>
      <c r="AL340" s="700"/>
      <c r="AM340" s="700"/>
      <c r="AN340" s="700"/>
      <c r="AO340" s="700"/>
      <c r="AP340" s="700"/>
      <c r="AQ340" s="700"/>
      <c r="AR340" s="700"/>
      <c r="AS340" s="700"/>
      <c r="AT340" s="700"/>
      <c r="AU340" s="700"/>
      <c r="AV340" s="700"/>
      <c r="AW340" s="700"/>
      <c r="AX340" s="700"/>
      <c r="AY340" s="700"/>
      <c r="AZ340" s="700"/>
      <c r="BA340" s="700"/>
      <c r="BB340" s="700"/>
      <c r="BC340" s="700"/>
      <c r="BD340" s="700"/>
    </row>
    <row r="341" spans="5:56" ht="42.6" customHeight="1" x14ac:dyDescent="0.25">
      <c r="E341" s="699" t="s">
        <v>99</v>
      </c>
      <c r="F341" s="699"/>
      <c r="G341" s="699"/>
      <c r="H341" s="699"/>
      <c r="I341" s="700" t="s">
        <v>588</v>
      </c>
      <c r="J341" s="700"/>
      <c r="K341" s="700"/>
      <c r="L341" s="700"/>
      <c r="M341" s="700"/>
      <c r="N341" s="700"/>
      <c r="O341" s="700"/>
      <c r="P341" s="700"/>
      <c r="Q341" s="700"/>
      <c r="R341" s="700"/>
      <c r="S341" s="700"/>
      <c r="T341" s="700"/>
      <c r="U341" s="700"/>
      <c r="V341" s="700"/>
      <c r="W341" s="700"/>
      <c r="X341" s="700"/>
      <c r="Y341" s="700"/>
      <c r="Z341" s="700"/>
      <c r="AA341" s="700"/>
      <c r="AB341" s="700"/>
      <c r="AC341" s="700"/>
      <c r="AD341" s="700"/>
      <c r="AE341" s="700"/>
      <c r="AF341" s="700"/>
      <c r="AG341" s="700"/>
      <c r="AH341" s="700"/>
      <c r="AI341" s="700"/>
      <c r="AJ341" s="700"/>
      <c r="AK341" s="700"/>
      <c r="AL341" s="700"/>
      <c r="AM341" s="700"/>
      <c r="AN341" s="700"/>
      <c r="AO341" s="700"/>
      <c r="AP341" s="700"/>
      <c r="AQ341" s="700"/>
      <c r="AR341" s="700"/>
      <c r="AS341" s="700"/>
      <c r="AT341" s="700"/>
      <c r="AU341" s="700"/>
      <c r="AV341" s="700"/>
      <c r="AW341" s="700"/>
      <c r="AX341" s="700"/>
      <c r="AY341" s="700"/>
      <c r="AZ341" s="700"/>
      <c r="BA341" s="700"/>
      <c r="BB341" s="700"/>
      <c r="BC341" s="700"/>
      <c r="BD341" s="700"/>
    </row>
    <row r="342" spans="5:56" ht="42.6" customHeight="1" x14ac:dyDescent="0.25">
      <c r="E342" s="699" t="s">
        <v>100</v>
      </c>
      <c r="F342" s="699"/>
      <c r="G342" s="699"/>
      <c r="H342" s="699"/>
      <c r="I342" s="700" t="s">
        <v>589</v>
      </c>
      <c r="J342" s="700"/>
      <c r="K342" s="700"/>
      <c r="L342" s="700"/>
      <c r="M342" s="700"/>
      <c r="N342" s="700"/>
      <c r="O342" s="700"/>
      <c r="P342" s="700"/>
      <c r="Q342" s="700"/>
      <c r="R342" s="700"/>
      <c r="S342" s="700"/>
      <c r="T342" s="700"/>
      <c r="U342" s="700"/>
      <c r="V342" s="700"/>
      <c r="W342" s="700"/>
      <c r="X342" s="700"/>
      <c r="Y342" s="700"/>
      <c r="Z342" s="700"/>
      <c r="AA342" s="700"/>
      <c r="AB342" s="700"/>
      <c r="AC342" s="700"/>
      <c r="AD342" s="700"/>
      <c r="AE342" s="700"/>
      <c r="AF342" s="700"/>
      <c r="AG342" s="700"/>
      <c r="AH342" s="700"/>
      <c r="AI342" s="700"/>
      <c r="AJ342" s="700"/>
      <c r="AK342" s="700"/>
      <c r="AL342" s="700"/>
      <c r="AM342" s="700"/>
      <c r="AN342" s="700"/>
      <c r="AO342" s="700"/>
      <c r="AP342" s="700"/>
      <c r="AQ342" s="700"/>
      <c r="AR342" s="700"/>
      <c r="AS342" s="700"/>
      <c r="AT342" s="700"/>
      <c r="AU342" s="700"/>
      <c r="AV342" s="700"/>
      <c r="AW342" s="700"/>
      <c r="AX342" s="700"/>
      <c r="AY342" s="700"/>
      <c r="AZ342" s="700"/>
      <c r="BA342" s="700"/>
      <c r="BB342" s="700"/>
      <c r="BC342" s="700"/>
      <c r="BD342" s="700"/>
    </row>
    <row r="343" spans="5:56" ht="42.6" customHeight="1" x14ac:dyDescent="0.25">
      <c r="E343" s="699" t="s">
        <v>101</v>
      </c>
      <c r="F343" s="699"/>
      <c r="G343" s="699"/>
      <c r="H343" s="699"/>
      <c r="I343" s="700" t="s">
        <v>590</v>
      </c>
      <c r="J343" s="700"/>
      <c r="K343" s="700"/>
      <c r="L343" s="700"/>
      <c r="M343" s="700"/>
      <c r="N343" s="700"/>
      <c r="O343" s="700"/>
      <c r="P343" s="700"/>
      <c r="Q343" s="700"/>
      <c r="R343" s="700"/>
      <c r="S343" s="700"/>
      <c r="T343" s="700"/>
      <c r="U343" s="700"/>
      <c r="V343" s="700"/>
      <c r="W343" s="700"/>
      <c r="X343" s="700"/>
      <c r="Y343" s="700"/>
      <c r="Z343" s="700"/>
      <c r="AA343" s="700"/>
      <c r="AB343" s="700"/>
      <c r="AC343" s="700"/>
      <c r="AD343" s="700"/>
      <c r="AE343" s="700"/>
      <c r="AF343" s="700"/>
      <c r="AG343" s="700"/>
      <c r="AH343" s="700"/>
      <c r="AI343" s="700"/>
      <c r="AJ343" s="700"/>
      <c r="AK343" s="700"/>
      <c r="AL343" s="700"/>
      <c r="AM343" s="700"/>
      <c r="AN343" s="700"/>
      <c r="AO343" s="700"/>
      <c r="AP343" s="700"/>
      <c r="AQ343" s="700"/>
      <c r="AR343" s="700"/>
      <c r="AS343" s="700"/>
      <c r="AT343" s="700"/>
      <c r="AU343" s="700"/>
      <c r="AV343" s="700"/>
      <c r="AW343" s="700"/>
      <c r="AX343" s="700"/>
      <c r="AY343" s="700"/>
      <c r="AZ343" s="700"/>
      <c r="BA343" s="700"/>
      <c r="BB343" s="700"/>
      <c r="BC343" s="700"/>
      <c r="BD343" s="700"/>
    </row>
    <row r="344" spans="5:56" ht="18" customHeight="1" x14ac:dyDescent="0.25">
      <c r="I344" s="642"/>
      <c r="J344" s="642"/>
      <c r="K344" s="642"/>
      <c r="L344" s="642"/>
      <c r="M344" s="642"/>
      <c r="N344" s="642"/>
      <c r="O344" s="642"/>
      <c r="P344" s="642"/>
      <c r="Q344" s="642"/>
      <c r="R344" s="642"/>
      <c r="S344" s="642"/>
      <c r="T344" s="642"/>
      <c r="U344" s="642"/>
      <c r="V344" s="642"/>
      <c r="W344" s="642"/>
      <c r="X344" s="642"/>
      <c r="Y344" s="642"/>
      <c r="Z344" s="642"/>
      <c r="AA344" s="642"/>
      <c r="AB344" s="642"/>
      <c r="AC344" s="642"/>
      <c r="AD344" s="642"/>
      <c r="AE344" s="642"/>
      <c r="AF344" s="642"/>
      <c r="AG344" s="642"/>
      <c r="AH344" s="642"/>
      <c r="AI344" s="642"/>
      <c r="AJ344" s="642"/>
      <c r="AK344" s="642"/>
      <c r="AL344" s="642"/>
      <c r="AM344" s="642"/>
      <c r="AN344" s="642"/>
      <c r="AO344" s="642"/>
      <c r="AP344" s="642"/>
      <c r="AQ344" s="642"/>
      <c r="AR344" s="642"/>
      <c r="AS344" s="642"/>
      <c r="AT344" s="642"/>
      <c r="AU344" s="642"/>
      <c r="AV344" s="642"/>
      <c r="AW344" s="642"/>
      <c r="AX344" s="642"/>
      <c r="AY344" s="642"/>
      <c r="AZ344" s="642"/>
      <c r="BA344" s="642"/>
      <c r="BB344" s="642"/>
      <c r="BC344" s="642"/>
      <c r="BD344" s="642"/>
    </row>
    <row r="345" spans="5:56" ht="42" customHeight="1" x14ac:dyDescent="0.25">
      <c r="E345" s="699" t="s">
        <v>597</v>
      </c>
      <c r="F345" s="699"/>
      <c r="G345" s="699"/>
      <c r="H345" s="699"/>
      <c r="I345" s="700" t="s">
        <v>595</v>
      </c>
      <c r="J345" s="700"/>
      <c r="K345" s="700"/>
      <c r="L345" s="700"/>
      <c r="M345" s="700"/>
      <c r="N345" s="700"/>
      <c r="O345" s="700"/>
      <c r="P345" s="700"/>
      <c r="Q345" s="700"/>
      <c r="R345" s="700"/>
      <c r="S345" s="700"/>
      <c r="T345" s="700"/>
      <c r="U345" s="700"/>
      <c r="V345" s="700"/>
      <c r="W345" s="700"/>
      <c r="X345" s="700"/>
      <c r="Y345" s="700"/>
      <c r="Z345" s="700"/>
      <c r="AA345" s="700"/>
      <c r="AB345" s="700"/>
      <c r="AC345" s="700"/>
      <c r="AD345" s="700"/>
      <c r="AE345" s="700"/>
      <c r="AF345" s="700"/>
      <c r="AG345" s="700"/>
      <c r="AH345" s="700"/>
      <c r="AI345" s="700"/>
      <c r="AJ345" s="700"/>
      <c r="AK345" s="700"/>
      <c r="AL345" s="700"/>
      <c r="AM345" s="700"/>
      <c r="AN345" s="700"/>
      <c r="AO345" s="700"/>
      <c r="AP345" s="700"/>
      <c r="AQ345" s="700"/>
      <c r="AR345" s="700"/>
      <c r="AS345" s="700"/>
      <c r="AT345" s="700"/>
      <c r="AU345" s="700"/>
      <c r="AV345" s="700"/>
      <c r="AW345" s="700"/>
      <c r="AX345" s="700"/>
      <c r="AY345" s="700"/>
      <c r="AZ345" s="700"/>
      <c r="BA345" s="700"/>
      <c r="BB345" s="700"/>
      <c r="BC345" s="700"/>
      <c r="BD345" s="700"/>
    </row>
    <row r="346" spans="5:56" ht="18" customHeight="1" x14ac:dyDescent="0.25">
      <c r="E346" s="222"/>
      <c r="F346" s="222"/>
      <c r="G346" s="222"/>
      <c r="H346" s="222"/>
      <c r="I346" s="642"/>
      <c r="J346" s="642"/>
      <c r="K346" s="642"/>
      <c r="L346" s="642"/>
      <c r="M346" s="642"/>
      <c r="N346" s="642"/>
      <c r="O346" s="642"/>
      <c r="P346" s="642"/>
      <c r="Q346" s="642"/>
      <c r="R346" s="642"/>
      <c r="S346" s="642"/>
      <c r="T346" s="642"/>
      <c r="U346" s="642"/>
      <c r="V346" s="642"/>
      <c r="W346" s="642"/>
      <c r="X346" s="642"/>
      <c r="Y346" s="642"/>
      <c r="Z346" s="642"/>
      <c r="AA346" s="642"/>
      <c r="AB346" s="642"/>
      <c r="AC346" s="642"/>
      <c r="AD346" s="642"/>
      <c r="AE346" s="642"/>
      <c r="AF346" s="642"/>
      <c r="AG346" s="642"/>
      <c r="AH346" s="642"/>
      <c r="AI346" s="642"/>
      <c r="AJ346" s="642"/>
      <c r="AK346" s="642"/>
      <c r="AL346" s="642"/>
      <c r="AM346" s="642"/>
      <c r="AN346" s="642"/>
      <c r="AO346" s="642"/>
      <c r="AP346" s="642"/>
      <c r="AQ346" s="642"/>
      <c r="AR346" s="642"/>
      <c r="AS346" s="642"/>
      <c r="AT346" s="642"/>
      <c r="AU346" s="642"/>
      <c r="AV346" s="642"/>
      <c r="AW346" s="642"/>
      <c r="AX346" s="642"/>
      <c r="AY346" s="642"/>
      <c r="AZ346" s="642"/>
      <c r="BA346" s="642"/>
      <c r="BB346" s="642"/>
      <c r="BC346" s="642"/>
      <c r="BD346" s="642"/>
    </row>
    <row r="347" spans="5:56" ht="40.9" customHeight="1" x14ac:dyDescent="0.25">
      <c r="E347" s="699" t="s">
        <v>592</v>
      </c>
      <c r="F347" s="699"/>
      <c r="G347" s="699"/>
      <c r="H347" s="699"/>
      <c r="I347" s="700" t="s">
        <v>598</v>
      </c>
      <c r="J347" s="700"/>
      <c r="K347" s="700"/>
      <c r="L347" s="700"/>
      <c r="M347" s="700"/>
      <c r="N347" s="700"/>
      <c r="O347" s="700"/>
      <c r="P347" s="700"/>
      <c r="Q347" s="700"/>
      <c r="R347" s="700"/>
      <c r="S347" s="700"/>
      <c r="T347" s="700"/>
      <c r="U347" s="700"/>
      <c r="V347" s="700"/>
      <c r="W347" s="700"/>
      <c r="X347" s="700"/>
      <c r="Y347" s="700"/>
      <c r="Z347" s="700"/>
      <c r="AA347" s="700"/>
      <c r="AB347" s="700"/>
      <c r="AC347" s="700"/>
      <c r="AD347" s="700"/>
      <c r="AE347" s="700"/>
      <c r="AF347" s="700"/>
      <c r="AG347" s="700"/>
      <c r="AH347" s="700"/>
      <c r="AI347" s="700"/>
      <c r="AJ347" s="700"/>
      <c r="AK347" s="700"/>
      <c r="AL347" s="700"/>
      <c r="AM347" s="700"/>
      <c r="AN347" s="700"/>
      <c r="AO347" s="700"/>
      <c r="AP347" s="700"/>
      <c r="AQ347" s="700"/>
      <c r="AR347" s="700"/>
      <c r="AS347" s="700"/>
      <c r="AT347" s="700"/>
      <c r="AU347" s="700"/>
      <c r="AV347" s="700"/>
      <c r="AW347" s="700"/>
      <c r="AX347" s="700"/>
      <c r="AY347" s="700"/>
      <c r="AZ347" s="700"/>
      <c r="BA347" s="700"/>
      <c r="BB347" s="700"/>
      <c r="BC347" s="700"/>
      <c r="BD347" s="700"/>
    </row>
    <row r="351" spans="5:56" ht="21" customHeight="1" x14ac:dyDescent="0.25">
      <c r="E351" s="712" t="s">
        <v>599</v>
      </c>
      <c r="F351" s="712"/>
      <c r="G351" s="712"/>
      <c r="H351" s="712"/>
      <c r="I351" s="712"/>
      <c r="J351" s="712"/>
      <c r="K351" s="712"/>
      <c r="L351" s="712"/>
      <c r="M351" s="712"/>
      <c r="N351" s="712"/>
      <c r="O351" s="712"/>
      <c r="P351" s="712"/>
      <c r="Q351" s="712"/>
      <c r="R351" s="712"/>
      <c r="S351" s="712"/>
      <c r="T351" s="712"/>
      <c r="U351" s="712"/>
      <c r="V351" s="712"/>
      <c r="W351" s="712"/>
      <c r="X351" s="712"/>
      <c r="Y351" s="712"/>
      <c r="Z351" s="712"/>
      <c r="AA351" s="712"/>
      <c r="AB351" s="712"/>
      <c r="AC351" s="712"/>
      <c r="AD351" s="712"/>
      <c r="AE351" s="712"/>
      <c r="AF351" s="712"/>
      <c r="AG351" s="712"/>
      <c r="AH351" s="712"/>
      <c r="AI351" s="712"/>
      <c r="AJ351" s="712"/>
      <c r="AK351" s="712"/>
      <c r="AL351" s="712"/>
      <c r="AM351" s="712"/>
      <c r="AN351" s="712"/>
      <c r="AO351" s="712"/>
      <c r="AP351" s="712"/>
      <c r="AQ351" s="712"/>
      <c r="AR351" s="712"/>
      <c r="AS351" s="712"/>
      <c r="AT351" s="712"/>
      <c r="AU351" s="712"/>
      <c r="AV351" s="712"/>
      <c r="AW351" s="712"/>
      <c r="AX351" s="712"/>
      <c r="AY351" s="712"/>
      <c r="AZ351" s="712"/>
      <c r="BA351" s="712"/>
      <c r="BB351" s="712"/>
      <c r="BC351" s="712"/>
      <c r="BD351" s="712"/>
    </row>
    <row r="352" spans="5:56" ht="80.45" customHeight="1" x14ac:dyDescent="0.25">
      <c r="E352" s="699" t="s">
        <v>128</v>
      </c>
      <c r="F352" s="699"/>
      <c r="G352" s="699"/>
      <c r="H352" s="699"/>
      <c r="I352" s="700" t="s">
        <v>600</v>
      </c>
      <c r="J352" s="700"/>
      <c r="K352" s="700"/>
      <c r="L352" s="700"/>
      <c r="M352" s="700"/>
      <c r="N352" s="700"/>
      <c r="O352" s="700"/>
      <c r="P352" s="700"/>
      <c r="Q352" s="700"/>
      <c r="R352" s="700"/>
      <c r="S352" s="700"/>
      <c r="T352" s="700"/>
      <c r="U352" s="700"/>
      <c r="V352" s="700"/>
      <c r="W352" s="700"/>
      <c r="X352" s="700"/>
      <c r="Y352" s="700"/>
      <c r="Z352" s="700"/>
      <c r="AA352" s="700"/>
      <c r="AB352" s="700"/>
      <c r="AC352" s="700"/>
      <c r="AD352" s="700"/>
      <c r="AE352" s="700"/>
      <c r="AF352" s="700"/>
      <c r="AG352" s="700"/>
      <c r="AH352" s="700"/>
      <c r="AI352" s="700"/>
      <c r="AJ352" s="700"/>
      <c r="AK352" s="700"/>
      <c r="AL352" s="700"/>
      <c r="AM352" s="700"/>
      <c r="AN352" s="700"/>
      <c r="AO352" s="700"/>
      <c r="AP352" s="700"/>
      <c r="AQ352" s="700"/>
      <c r="AR352" s="700"/>
      <c r="AS352" s="700"/>
      <c r="AT352" s="700"/>
      <c r="AU352" s="700"/>
      <c r="AV352" s="700"/>
      <c r="AW352" s="700"/>
      <c r="AX352" s="700"/>
      <c r="AY352" s="700"/>
      <c r="AZ352" s="700"/>
      <c r="BA352" s="700"/>
      <c r="BB352" s="700"/>
      <c r="BC352" s="700"/>
      <c r="BD352" s="700"/>
    </row>
    <row r="353" spans="5:56" ht="80.45" customHeight="1" x14ac:dyDescent="0.25">
      <c r="E353" s="699" t="s">
        <v>601</v>
      </c>
      <c r="F353" s="699"/>
      <c r="G353" s="699"/>
      <c r="H353" s="699"/>
      <c r="I353" s="700" t="s">
        <v>602</v>
      </c>
      <c r="J353" s="700"/>
      <c r="K353" s="700"/>
      <c r="L353" s="700"/>
      <c r="M353" s="700"/>
      <c r="N353" s="700"/>
      <c r="O353" s="700"/>
      <c r="P353" s="700"/>
      <c r="Q353" s="700"/>
      <c r="R353" s="700"/>
      <c r="S353" s="700"/>
      <c r="T353" s="700"/>
      <c r="U353" s="700"/>
      <c r="V353" s="700"/>
      <c r="W353" s="700"/>
      <c r="X353" s="700"/>
      <c r="Y353" s="700"/>
      <c r="Z353" s="700"/>
      <c r="AA353" s="700"/>
      <c r="AB353" s="700"/>
      <c r="AC353" s="700"/>
      <c r="AD353" s="700"/>
      <c r="AE353" s="700"/>
      <c r="AF353" s="700"/>
      <c r="AG353" s="700"/>
      <c r="AH353" s="700"/>
      <c r="AI353" s="700"/>
      <c r="AJ353" s="700"/>
      <c r="AK353" s="700"/>
      <c r="AL353" s="700"/>
      <c r="AM353" s="700"/>
      <c r="AN353" s="700"/>
      <c r="AO353" s="700"/>
      <c r="AP353" s="700"/>
      <c r="AQ353" s="700"/>
      <c r="AR353" s="700"/>
      <c r="AS353" s="700"/>
      <c r="AT353" s="700"/>
      <c r="AU353" s="700"/>
      <c r="AV353" s="700"/>
      <c r="AW353" s="700"/>
      <c r="AX353" s="700"/>
      <c r="AY353" s="700"/>
      <c r="AZ353" s="700"/>
      <c r="BA353" s="700"/>
      <c r="BB353" s="700"/>
      <c r="BC353" s="700"/>
      <c r="BD353" s="700"/>
    </row>
    <row r="354" spans="5:56" ht="80.45" customHeight="1" x14ac:dyDescent="0.25">
      <c r="E354" s="699" t="s">
        <v>130</v>
      </c>
      <c r="F354" s="699"/>
      <c r="G354" s="699"/>
      <c r="H354" s="699"/>
      <c r="I354" s="700" t="s">
        <v>603</v>
      </c>
      <c r="J354" s="700"/>
      <c r="K354" s="700"/>
      <c r="L354" s="700"/>
      <c r="M354" s="700"/>
      <c r="N354" s="700"/>
      <c r="O354" s="700"/>
      <c r="P354" s="700"/>
      <c r="Q354" s="700"/>
      <c r="R354" s="700"/>
      <c r="S354" s="700"/>
      <c r="T354" s="700"/>
      <c r="U354" s="700"/>
      <c r="V354" s="700"/>
      <c r="W354" s="700"/>
      <c r="X354" s="700"/>
      <c r="Y354" s="700"/>
      <c r="Z354" s="700"/>
      <c r="AA354" s="700"/>
      <c r="AB354" s="700"/>
      <c r="AC354" s="700"/>
      <c r="AD354" s="700"/>
      <c r="AE354" s="700"/>
      <c r="AF354" s="700"/>
      <c r="AG354" s="700"/>
      <c r="AH354" s="700"/>
      <c r="AI354" s="700"/>
      <c r="AJ354" s="700"/>
      <c r="AK354" s="700"/>
      <c r="AL354" s="700"/>
      <c r="AM354" s="700"/>
      <c r="AN354" s="700"/>
      <c r="AO354" s="700"/>
      <c r="AP354" s="700"/>
      <c r="AQ354" s="700"/>
      <c r="AR354" s="700"/>
      <c r="AS354" s="700"/>
      <c r="AT354" s="700"/>
      <c r="AU354" s="700"/>
      <c r="AV354" s="700"/>
      <c r="AW354" s="700"/>
      <c r="AX354" s="700"/>
      <c r="AY354" s="700"/>
      <c r="AZ354" s="700"/>
      <c r="BA354" s="700"/>
      <c r="BB354" s="700"/>
      <c r="BC354" s="700"/>
      <c r="BD354" s="700"/>
    </row>
    <row r="355" spans="5:56" ht="80.45" customHeight="1" x14ac:dyDescent="0.25">
      <c r="E355" s="699" t="s">
        <v>131</v>
      </c>
      <c r="F355" s="699"/>
      <c r="G355" s="699"/>
      <c r="H355" s="699"/>
      <c r="I355" s="700" t="s">
        <v>604</v>
      </c>
      <c r="J355" s="700"/>
      <c r="K355" s="700"/>
      <c r="L355" s="700"/>
      <c r="M355" s="700"/>
      <c r="N355" s="700"/>
      <c r="O355" s="700"/>
      <c r="P355" s="700"/>
      <c r="Q355" s="700"/>
      <c r="R355" s="700"/>
      <c r="S355" s="700"/>
      <c r="T355" s="700"/>
      <c r="U355" s="700"/>
      <c r="V355" s="700"/>
      <c r="W355" s="700"/>
      <c r="X355" s="700"/>
      <c r="Y355" s="700"/>
      <c r="Z355" s="700"/>
      <c r="AA355" s="700"/>
      <c r="AB355" s="700"/>
      <c r="AC355" s="700"/>
      <c r="AD355" s="700"/>
      <c r="AE355" s="700"/>
      <c r="AF355" s="700"/>
      <c r="AG355" s="700"/>
      <c r="AH355" s="700"/>
      <c r="AI355" s="700"/>
      <c r="AJ355" s="700"/>
      <c r="AK355" s="700"/>
      <c r="AL355" s="700"/>
      <c r="AM355" s="700"/>
      <c r="AN355" s="700"/>
      <c r="AO355" s="700"/>
      <c r="AP355" s="700"/>
      <c r="AQ355" s="700"/>
      <c r="AR355" s="700"/>
      <c r="AS355" s="700"/>
      <c r="AT355" s="700"/>
      <c r="AU355" s="700"/>
      <c r="AV355" s="700"/>
      <c r="AW355" s="700"/>
      <c r="AX355" s="700"/>
      <c r="AY355" s="700"/>
      <c r="AZ355" s="700"/>
      <c r="BA355" s="700"/>
      <c r="BB355" s="700"/>
      <c r="BC355" s="700"/>
      <c r="BD355" s="700"/>
    </row>
    <row r="356" spans="5:56" ht="69" customHeight="1" x14ac:dyDescent="0.25">
      <c r="E356" s="699" t="s">
        <v>132</v>
      </c>
      <c r="F356" s="699"/>
      <c r="G356" s="699"/>
      <c r="H356" s="699"/>
      <c r="I356" s="700" t="s">
        <v>605</v>
      </c>
      <c r="J356" s="700"/>
      <c r="K356" s="700"/>
      <c r="L356" s="700"/>
      <c r="M356" s="700"/>
      <c r="N356" s="700"/>
      <c r="O356" s="700"/>
      <c r="P356" s="700"/>
      <c r="Q356" s="700"/>
      <c r="R356" s="700"/>
      <c r="S356" s="700"/>
      <c r="T356" s="700"/>
      <c r="U356" s="700"/>
      <c r="V356" s="700"/>
      <c r="W356" s="700"/>
      <c r="X356" s="700"/>
      <c r="Y356" s="700"/>
      <c r="Z356" s="700"/>
      <c r="AA356" s="700"/>
      <c r="AB356" s="700"/>
      <c r="AC356" s="700"/>
      <c r="AD356" s="700"/>
      <c r="AE356" s="700"/>
      <c r="AF356" s="700"/>
      <c r="AG356" s="700"/>
      <c r="AH356" s="700"/>
      <c r="AI356" s="700"/>
      <c r="AJ356" s="700"/>
      <c r="AK356" s="700"/>
      <c r="AL356" s="700"/>
      <c r="AM356" s="700"/>
      <c r="AN356" s="700"/>
      <c r="AO356" s="700"/>
      <c r="AP356" s="700"/>
      <c r="AQ356" s="700"/>
      <c r="AR356" s="700"/>
      <c r="AS356" s="700"/>
      <c r="AT356" s="700"/>
      <c r="AU356" s="700"/>
      <c r="AV356" s="700"/>
      <c r="AW356" s="700"/>
      <c r="AX356" s="700"/>
      <c r="AY356" s="700"/>
      <c r="AZ356" s="700"/>
      <c r="BA356" s="700"/>
      <c r="BB356" s="700"/>
      <c r="BC356" s="700"/>
      <c r="BD356" s="700"/>
    </row>
    <row r="357" spans="5:56" ht="63.75" customHeight="1" x14ac:dyDescent="0.25">
      <c r="E357" s="699" t="s">
        <v>133</v>
      </c>
      <c r="F357" s="699"/>
      <c r="G357" s="699"/>
      <c r="H357" s="699"/>
      <c r="I357" s="700" t="s">
        <v>606</v>
      </c>
      <c r="J357" s="700"/>
      <c r="K357" s="700"/>
      <c r="L357" s="700"/>
      <c r="M357" s="700"/>
      <c r="N357" s="700"/>
      <c r="O357" s="700"/>
      <c r="P357" s="700"/>
      <c r="Q357" s="700"/>
      <c r="R357" s="700"/>
      <c r="S357" s="700"/>
      <c r="T357" s="700"/>
      <c r="U357" s="700"/>
      <c r="V357" s="700"/>
      <c r="W357" s="700"/>
      <c r="X357" s="700"/>
      <c r="Y357" s="700"/>
      <c r="Z357" s="700"/>
      <c r="AA357" s="700"/>
      <c r="AB357" s="700"/>
      <c r="AC357" s="700"/>
      <c r="AD357" s="700"/>
      <c r="AE357" s="700"/>
      <c r="AF357" s="700"/>
      <c r="AG357" s="700"/>
      <c r="AH357" s="700"/>
      <c r="AI357" s="700"/>
      <c r="AJ357" s="700"/>
      <c r="AK357" s="700"/>
      <c r="AL357" s="700"/>
      <c r="AM357" s="700"/>
      <c r="AN357" s="700"/>
      <c r="AO357" s="700"/>
      <c r="AP357" s="700"/>
      <c r="AQ357" s="700"/>
      <c r="AR357" s="700"/>
      <c r="AS357" s="700"/>
      <c r="AT357" s="700"/>
      <c r="AU357" s="700"/>
      <c r="AV357" s="700"/>
      <c r="AW357" s="700"/>
      <c r="AX357" s="700"/>
      <c r="AY357" s="700"/>
      <c r="AZ357" s="700"/>
      <c r="BA357" s="700"/>
      <c r="BB357" s="700"/>
      <c r="BC357" s="700"/>
      <c r="BD357" s="700"/>
    </row>
    <row r="358" spans="5:56" ht="60" customHeight="1" x14ac:dyDescent="0.25">
      <c r="E358" s="699" t="s">
        <v>607</v>
      </c>
      <c r="F358" s="699"/>
      <c r="G358" s="699"/>
      <c r="H358" s="699"/>
      <c r="I358" s="700" t="s">
        <v>608</v>
      </c>
      <c r="J358" s="700"/>
      <c r="K358" s="700"/>
      <c r="L358" s="700"/>
      <c r="M358" s="700"/>
      <c r="N358" s="700"/>
      <c r="O358" s="700"/>
      <c r="P358" s="700"/>
      <c r="Q358" s="700"/>
      <c r="R358" s="700"/>
      <c r="S358" s="700"/>
      <c r="T358" s="700"/>
      <c r="U358" s="700"/>
      <c r="V358" s="700"/>
      <c r="W358" s="700"/>
      <c r="X358" s="700"/>
      <c r="Y358" s="700"/>
      <c r="Z358" s="700"/>
      <c r="AA358" s="700"/>
      <c r="AB358" s="700"/>
      <c r="AC358" s="700"/>
      <c r="AD358" s="700"/>
      <c r="AE358" s="700"/>
      <c r="AF358" s="700"/>
      <c r="AG358" s="700"/>
      <c r="AH358" s="700"/>
      <c r="AI358" s="700"/>
      <c r="AJ358" s="700"/>
      <c r="AK358" s="700"/>
      <c r="AL358" s="700"/>
      <c r="AM358" s="700"/>
      <c r="AN358" s="700"/>
      <c r="AO358" s="700"/>
      <c r="AP358" s="700"/>
      <c r="AQ358" s="700"/>
      <c r="AR358" s="700"/>
      <c r="AS358" s="700"/>
      <c r="AT358" s="700"/>
      <c r="AU358" s="700"/>
      <c r="AV358" s="700"/>
      <c r="AW358" s="700"/>
      <c r="AX358" s="700"/>
      <c r="AY358" s="700"/>
      <c r="AZ358" s="700"/>
      <c r="BA358" s="700"/>
      <c r="BB358" s="700"/>
      <c r="BC358" s="700"/>
      <c r="BD358" s="700"/>
    </row>
    <row r="359" spans="5:56" ht="37.15" customHeight="1" x14ac:dyDescent="0.25">
      <c r="E359" s="222"/>
      <c r="F359" s="222"/>
      <c r="G359" s="222"/>
      <c r="H359" s="222"/>
    </row>
    <row r="360" spans="5:56" ht="51.75" customHeight="1" x14ac:dyDescent="0.25">
      <c r="E360" s="699" t="s">
        <v>609</v>
      </c>
      <c r="F360" s="699"/>
      <c r="G360" s="699"/>
      <c r="H360" s="699"/>
      <c r="I360" s="700" t="s">
        <v>610</v>
      </c>
      <c r="J360" s="700"/>
      <c r="K360" s="700"/>
      <c r="L360" s="700"/>
      <c r="M360" s="700"/>
      <c r="N360" s="700"/>
      <c r="O360" s="700"/>
      <c r="P360" s="700"/>
      <c r="Q360" s="700"/>
      <c r="R360" s="700"/>
      <c r="S360" s="700"/>
      <c r="T360" s="700"/>
      <c r="U360" s="700"/>
      <c r="V360" s="700"/>
      <c r="W360" s="700"/>
      <c r="X360" s="700"/>
      <c r="Y360" s="700"/>
      <c r="Z360" s="700"/>
      <c r="AA360" s="700"/>
      <c r="AB360" s="700"/>
      <c r="AC360" s="700"/>
      <c r="AD360" s="700"/>
      <c r="AE360" s="700"/>
      <c r="AF360" s="700"/>
      <c r="AG360" s="700"/>
      <c r="AH360" s="700"/>
      <c r="AI360" s="700"/>
      <c r="AJ360" s="700"/>
      <c r="AK360" s="700"/>
      <c r="AL360" s="700"/>
      <c r="AM360" s="700"/>
      <c r="AN360" s="700"/>
      <c r="AO360" s="700"/>
      <c r="AP360" s="700"/>
      <c r="AQ360" s="700"/>
      <c r="AR360" s="700"/>
      <c r="AS360" s="700"/>
      <c r="AT360" s="700"/>
      <c r="AU360" s="700"/>
      <c r="AV360" s="700"/>
      <c r="AW360" s="700"/>
      <c r="AX360" s="700"/>
      <c r="AY360" s="700"/>
      <c r="AZ360" s="700"/>
      <c r="BA360" s="700"/>
      <c r="BB360" s="700"/>
      <c r="BC360" s="700"/>
      <c r="BD360" s="700"/>
    </row>
    <row r="361" spans="5:56" ht="37.15" customHeight="1" x14ac:dyDescent="0.25">
      <c r="E361" s="222"/>
      <c r="F361" s="222"/>
      <c r="G361" s="222"/>
      <c r="H361" s="222"/>
    </row>
    <row r="362" spans="5:56" ht="37.15" customHeight="1" x14ac:dyDescent="0.25">
      <c r="E362" s="699" t="s">
        <v>611</v>
      </c>
      <c r="F362" s="699"/>
      <c r="G362" s="699"/>
      <c r="H362" s="699"/>
      <c r="I362" s="700" t="s">
        <v>613</v>
      </c>
      <c r="J362" s="700"/>
      <c r="K362" s="700"/>
      <c r="L362" s="700"/>
      <c r="M362" s="700"/>
      <c r="N362" s="700"/>
      <c r="O362" s="700"/>
      <c r="P362" s="700"/>
      <c r="Q362" s="700"/>
      <c r="R362" s="700"/>
      <c r="S362" s="700"/>
      <c r="T362" s="700"/>
      <c r="U362" s="700"/>
      <c r="V362" s="700"/>
      <c r="W362" s="700"/>
      <c r="X362" s="700"/>
      <c r="Y362" s="700"/>
      <c r="Z362" s="700"/>
      <c r="AA362" s="700"/>
      <c r="AB362" s="700"/>
      <c r="AC362" s="700"/>
      <c r="AD362" s="700"/>
      <c r="AE362" s="700"/>
      <c r="AF362" s="700"/>
      <c r="AG362" s="700"/>
      <c r="AH362" s="700"/>
      <c r="AI362" s="700"/>
      <c r="AJ362" s="700"/>
      <c r="AK362" s="700"/>
      <c r="AL362" s="700"/>
      <c r="AM362" s="700"/>
      <c r="AN362" s="700"/>
      <c r="AO362" s="700"/>
      <c r="AP362" s="700"/>
      <c r="AQ362" s="700"/>
      <c r="AR362" s="700"/>
      <c r="AS362" s="700"/>
      <c r="AT362" s="700"/>
      <c r="AU362" s="700"/>
      <c r="AV362" s="700"/>
      <c r="AW362" s="700"/>
      <c r="AX362" s="700"/>
      <c r="AY362" s="700"/>
      <c r="AZ362" s="700"/>
      <c r="BA362" s="700"/>
      <c r="BB362" s="700"/>
      <c r="BC362" s="700"/>
      <c r="BD362" s="700"/>
    </row>
    <row r="363" spans="5:56" ht="37.15" customHeight="1" x14ac:dyDescent="0.25">
      <c r="E363" s="699" t="s">
        <v>612</v>
      </c>
      <c r="F363" s="699"/>
      <c r="G363" s="699"/>
      <c r="H363" s="699"/>
      <c r="I363" s="700" t="s">
        <v>614</v>
      </c>
      <c r="J363" s="700"/>
      <c r="K363" s="700"/>
      <c r="L363" s="700"/>
      <c r="M363" s="700"/>
      <c r="N363" s="700"/>
      <c r="O363" s="700"/>
      <c r="P363" s="700"/>
      <c r="Q363" s="700"/>
      <c r="R363" s="700"/>
      <c r="S363" s="700"/>
      <c r="T363" s="700"/>
      <c r="U363" s="700"/>
      <c r="V363" s="700"/>
      <c r="W363" s="700"/>
      <c r="X363" s="700"/>
      <c r="Y363" s="700"/>
      <c r="Z363" s="700"/>
      <c r="AA363" s="700"/>
      <c r="AB363" s="700"/>
      <c r="AC363" s="700"/>
      <c r="AD363" s="700"/>
      <c r="AE363" s="700"/>
      <c r="AF363" s="700"/>
      <c r="AG363" s="700"/>
      <c r="AH363" s="700"/>
      <c r="AI363" s="700"/>
      <c r="AJ363" s="700"/>
      <c r="AK363" s="700"/>
      <c r="AL363" s="700"/>
      <c r="AM363" s="700"/>
      <c r="AN363" s="700"/>
      <c r="AO363" s="700"/>
      <c r="AP363" s="700"/>
      <c r="AQ363" s="700"/>
      <c r="AR363" s="700"/>
      <c r="AS363" s="700"/>
      <c r="AT363" s="700"/>
      <c r="AU363" s="700"/>
      <c r="AV363" s="700"/>
      <c r="AW363" s="700"/>
      <c r="AX363" s="700"/>
      <c r="AY363" s="700"/>
      <c r="AZ363" s="700"/>
      <c r="BA363" s="700"/>
      <c r="BB363" s="700"/>
      <c r="BC363" s="700"/>
      <c r="BD363" s="700"/>
    </row>
    <row r="364" spans="5:56" ht="37.15" customHeight="1" x14ac:dyDescent="0.25">
      <c r="E364" s="222"/>
      <c r="F364" s="222"/>
      <c r="G364" s="222"/>
      <c r="H364" s="222"/>
    </row>
    <row r="365" spans="5:56" ht="37.15" customHeight="1" x14ac:dyDescent="0.25">
      <c r="E365" s="699" t="s">
        <v>615</v>
      </c>
      <c r="F365" s="699"/>
      <c r="G365" s="699"/>
      <c r="H365" s="699"/>
      <c r="I365" s="700" t="s">
        <v>616</v>
      </c>
      <c r="J365" s="700"/>
      <c r="K365" s="700"/>
      <c r="L365" s="700"/>
      <c r="M365" s="700"/>
      <c r="N365" s="700"/>
      <c r="O365" s="700"/>
      <c r="P365" s="700"/>
      <c r="Q365" s="700"/>
      <c r="R365" s="700"/>
      <c r="S365" s="700"/>
      <c r="T365" s="700"/>
      <c r="U365" s="700"/>
      <c r="V365" s="700"/>
      <c r="W365" s="700"/>
      <c r="X365" s="700"/>
      <c r="Y365" s="700"/>
      <c r="Z365" s="700"/>
      <c r="AA365" s="700"/>
      <c r="AB365" s="700"/>
      <c r="AC365" s="700"/>
      <c r="AD365" s="700"/>
      <c r="AE365" s="700"/>
      <c r="AF365" s="700"/>
      <c r="AG365" s="700"/>
      <c r="AH365" s="700"/>
      <c r="AI365" s="700"/>
      <c r="AJ365" s="700"/>
      <c r="AK365" s="700"/>
      <c r="AL365" s="700"/>
      <c r="AM365" s="700"/>
      <c r="AN365" s="700"/>
      <c r="AO365" s="700"/>
      <c r="AP365" s="700"/>
      <c r="AQ365" s="700"/>
      <c r="AR365" s="700"/>
      <c r="AS365" s="700"/>
      <c r="AT365" s="700"/>
      <c r="AU365" s="700"/>
      <c r="AV365" s="700"/>
      <c r="AW365" s="700"/>
      <c r="AX365" s="700"/>
      <c r="AY365" s="700"/>
      <c r="AZ365" s="700"/>
      <c r="BA365" s="700"/>
      <c r="BB365" s="700"/>
      <c r="BC365" s="700"/>
      <c r="BD365" s="700"/>
    </row>
    <row r="368" spans="5:56" ht="18" customHeight="1" x14ac:dyDescent="0.25">
      <c r="E368" s="701" t="s">
        <v>729</v>
      </c>
      <c r="F368" s="701"/>
      <c r="G368" s="701"/>
      <c r="H368" s="701"/>
      <c r="I368" s="701"/>
      <c r="J368" s="701"/>
      <c r="K368" s="701"/>
      <c r="L368" s="701"/>
      <c r="M368" s="701"/>
      <c r="N368" s="701"/>
      <c r="O368" s="701"/>
      <c r="P368" s="701"/>
      <c r="Q368" s="701"/>
      <c r="R368" s="701"/>
      <c r="S368" s="701"/>
      <c r="T368" s="701"/>
      <c r="U368" s="701"/>
      <c r="V368" s="701"/>
      <c r="W368" s="701"/>
      <c r="X368" s="701"/>
      <c r="Y368" s="701"/>
      <c r="Z368" s="701"/>
      <c r="AA368" s="701"/>
      <c r="AB368" s="701"/>
      <c r="AC368" s="701"/>
      <c r="AD368" s="701"/>
      <c r="AE368" s="701"/>
      <c r="AF368" s="701"/>
      <c r="AG368" s="701"/>
      <c r="AH368" s="701"/>
      <c r="AI368" s="701"/>
      <c r="AJ368" s="701"/>
      <c r="AK368" s="701"/>
      <c r="AL368" s="701"/>
      <c r="AM368" s="701"/>
      <c r="AN368" s="701"/>
      <c r="AO368" s="701"/>
      <c r="AP368" s="701"/>
      <c r="AQ368" s="701"/>
      <c r="AR368" s="701"/>
      <c r="AS368" s="701"/>
      <c r="AT368" s="701"/>
      <c r="AU368" s="701"/>
      <c r="AV368" s="701"/>
      <c r="AW368" s="701"/>
      <c r="AX368" s="701"/>
      <c r="AY368" s="701"/>
      <c r="AZ368" s="701"/>
      <c r="BA368" s="701"/>
      <c r="BB368" s="701"/>
      <c r="BC368" s="701"/>
      <c r="BD368" s="701"/>
    </row>
    <row r="370" spans="5:56" ht="54" customHeight="1" x14ac:dyDescent="0.25">
      <c r="E370" s="699" t="s">
        <v>617</v>
      </c>
      <c r="F370" s="699"/>
      <c r="G370" s="699"/>
      <c r="H370" s="699"/>
      <c r="I370" s="700" t="s">
        <v>619</v>
      </c>
      <c r="J370" s="700"/>
      <c r="K370" s="700"/>
      <c r="L370" s="700"/>
      <c r="M370" s="700"/>
      <c r="N370" s="700"/>
      <c r="O370" s="700"/>
      <c r="P370" s="700"/>
      <c r="Q370" s="700"/>
      <c r="R370" s="700"/>
      <c r="S370" s="700"/>
      <c r="T370" s="700"/>
      <c r="U370" s="700"/>
      <c r="V370" s="700"/>
      <c r="W370" s="700"/>
      <c r="X370" s="700"/>
      <c r="Y370" s="700"/>
      <c r="Z370" s="700"/>
      <c r="AA370" s="700"/>
      <c r="AB370" s="700"/>
      <c r="AC370" s="700"/>
      <c r="AD370" s="700"/>
      <c r="AE370" s="700"/>
      <c r="AF370" s="700"/>
      <c r="AG370" s="700"/>
      <c r="AH370" s="700"/>
      <c r="AI370" s="700"/>
      <c r="AJ370" s="700"/>
      <c r="AK370" s="700"/>
      <c r="AL370" s="700"/>
      <c r="AM370" s="700"/>
      <c r="AN370" s="700"/>
      <c r="AO370" s="700"/>
      <c r="AP370" s="700"/>
      <c r="AQ370" s="700"/>
      <c r="AR370" s="700"/>
      <c r="AS370" s="700"/>
      <c r="AT370" s="700"/>
      <c r="AU370" s="700"/>
      <c r="AV370" s="700"/>
      <c r="AW370" s="700"/>
      <c r="AX370" s="700"/>
      <c r="AY370" s="700"/>
      <c r="AZ370" s="700"/>
      <c r="BA370" s="700"/>
      <c r="BB370" s="700"/>
      <c r="BC370" s="700"/>
      <c r="BD370" s="700"/>
    </row>
    <row r="371" spans="5:56" ht="18" customHeight="1" x14ac:dyDescent="0.25">
      <c r="E371" s="222"/>
      <c r="F371" s="222"/>
      <c r="G371" s="222"/>
      <c r="H371" s="222"/>
    </row>
    <row r="372" spans="5:56" ht="32.25" customHeight="1" x14ac:dyDescent="0.25">
      <c r="E372" s="699" t="s">
        <v>437</v>
      </c>
      <c r="F372" s="699"/>
      <c r="G372" s="699"/>
      <c r="H372" s="699"/>
      <c r="I372" s="700" t="s">
        <v>621</v>
      </c>
      <c r="J372" s="700"/>
      <c r="K372" s="700"/>
      <c r="L372" s="700"/>
      <c r="M372" s="700"/>
      <c r="N372" s="700"/>
      <c r="O372" s="700"/>
      <c r="P372" s="700"/>
      <c r="Q372" s="700"/>
      <c r="R372" s="700"/>
      <c r="S372" s="700"/>
      <c r="T372" s="700"/>
      <c r="U372" s="700"/>
      <c r="V372" s="700"/>
      <c r="W372" s="700"/>
      <c r="X372" s="700"/>
      <c r="Y372" s="700"/>
      <c r="Z372" s="700"/>
      <c r="AA372" s="700"/>
      <c r="AB372" s="700"/>
      <c r="AC372" s="700"/>
      <c r="AD372" s="700"/>
      <c r="AE372" s="700"/>
      <c r="AF372" s="700"/>
      <c r="AG372" s="700"/>
      <c r="AH372" s="700"/>
      <c r="AI372" s="700"/>
      <c r="AJ372" s="700"/>
      <c r="AK372" s="700"/>
      <c r="AL372" s="700"/>
      <c r="AM372" s="700"/>
      <c r="AN372" s="700"/>
      <c r="AO372" s="700"/>
      <c r="AP372" s="700"/>
      <c r="AQ372" s="700"/>
      <c r="AR372" s="700"/>
      <c r="AS372" s="700"/>
      <c r="AT372" s="700"/>
      <c r="AU372" s="700"/>
      <c r="AV372" s="700"/>
      <c r="AW372" s="700"/>
      <c r="AX372" s="700"/>
      <c r="AY372" s="700"/>
      <c r="AZ372" s="700"/>
      <c r="BA372" s="700"/>
      <c r="BB372" s="700"/>
      <c r="BC372" s="700"/>
      <c r="BD372" s="700"/>
    </row>
    <row r="373" spans="5:56" ht="26.45" customHeight="1" x14ac:dyDescent="0.25">
      <c r="E373" s="699" t="s">
        <v>150</v>
      </c>
      <c r="F373" s="699"/>
      <c r="G373" s="699"/>
      <c r="H373" s="699"/>
      <c r="I373" s="700" t="s">
        <v>622</v>
      </c>
      <c r="J373" s="700"/>
      <c r="K373" s="700"/>
      <c r="L373" s="700"/>
      <c r="M373" s="700"/>
      <c r="N373" s="700"/>
      <c r="O373" s="700"/>
      <c r="P373" s="700"/>
      <c r="Q373" s="700"/>
      <c r="R373" s="700"/>
      <c r="S373" s="700"/>
      <c r="T373" s="700"/>
      <c r="U373" s="700"/>
      <c r="V373" s="700"/>
      <c r="W373" s="700"/>
      <c r="X373" s="700"/>
      <c r="Y373" s="700"/>
      <c r="Z373" s="700"/>
      <c r="AA373" s="700"/>
      <c r="AB373" s="700"/>
      <c r="AC373" s="700"/>
      <c r="AD373" s="700"/>
      <c r="AE373" s="700"/>
      <c r="AF373" s="700"/>
      <c r="AG373" s="700"/>
      <c r="AH373" s="700"/>
      <c r="AI373" s="700"/>
      <c r="AJ373" s="700"/>
      <c r="AK373" s="700"/>
      <c r="AL373" s="700"/>
      <c r="AM373" s="700"/>
      <c r="AN373" s="700"/>
      <c r="AO373" s="700"/>
      <c r="AP373" s="700"/>
      <c r="AQ373" s="700"/>
      <c r="AR373" s="700"/>
      <c r="AS373" s="700"/>
      <c r="AT373" s="700"/>
      <c r="AU373" s="700"/>
      <c r="AV373" s="700"/>
      <c r="AW373" s="700"/>
      <c r="AX373" s="700"/>
      <c r="AY373" s="700"/>
      <c r="AZ373" s="700"/>
      <c r="BA373" s="700"/>
      <c r="BB373" s="700"/>
      <c r="BC373" s="700"/>
      <c r="BD373" s="700"/>
    </row>
    <row r="374" spans="5:56" ht="26.45" customHeight="1" x14ac:dyDescent="0.25">
      <c r="E374" s="699" t="s">
        <v>151</v>
      </c>
      <c r="F374" s="699"/>
      <c r="G374" s="699"/>
      <c r="H374" s="699"/>
      <c r="I374" s="700" t="s">
        <v>623</v>
      </c>
      <c r="J374" s="700"/>
      <c r="K374" s="700"/>
      <c r="L374" s="700"/>
      <c r="M374" s="700"/>
      <c r="N374" s="700"/>
      <c r="O374" s="700"/>
      <c r="P374" s="700"/>
      <c r="Q374" s="700"/>
      <c r="R374" s="700"/>
      <c r="S374" s="700"/>
      <c r="T374" s="700"/>
      <c r="U374" s="700"/>
      <c r="V374" s="700"/>
      <c r="W374" s="700"/>
      <c r="X374" s="700"/>
      <c r="Y374" s="700"/>
      <c r="Z374" s="700"/>
      <c r="AA374" s="700"/>
      <c r="AB374" s="700"/>
      <c r="AC374" s="700"/>
      <c r="AD374" s="700"/>
      <c r="AE374" s="700"/>
      <c r="AF374" s="700"/>
      <c r="AG374" s="700"/>
      <c r="AH374" s="700"/>
      <c r="AI374" s="700"/>
      <c r="AJ374" s="700"/>
      <c r="AK374" s="700"/>
      <c r="AL374" s="700"/>
      <c r="AM374" s="700"/>
      <c r="AN374" s="700"/>
      <c r="AO374" s="700"/>
      <c r="AP374" s="700"/>
      <c r="AQ374" s="700"/>
      <c r="AR374" s="700"/>
      <c r="AS374" s="700"/>
      <c r="AT374" s="700"/>
      <c r="AU374" s="700"/>
      <c r="AV374" s="700"/>
      <c r="AW374" s="700"/>
      <c r="AX374" s="700"/>
      <c r="AY374" s="700"/>
      <c r="AZ374" s="700"/>
      <c r="BA374" s="700"/>
      <c r="BB374" s="700"/>
      <c r="BC374" s="700"/>
      <c r="BD374" s="700"/>
    </row>
    <row r="375" spans="5:56" ht="26.45" customHeight="1" x14ac:dyDescent="0.25">
      <c r="E375" s="699" t="s">
        <v>152</v>
      </c>
      <c r="F375" s="699"/>
      <c r="G375" s="699"/>
      <c r="H375" s="699"/>
      <c r="I375" s="700" t="s">
        <v>624</v>
      </c>
      <c r="J375" s="700"/>
      <c r="K375" s="700"/>
      <c r="L375" s="700"/>
      <c r="M375" s="700"/>
      <c r="N375" s="700"/>
      <c r="O375" s="700"/>
      <c r="P375" s="700"/>
      <c r="Q375" s="700"/>
      <c r="R375" s="700"/>
      <c r="S375" s="700"/>
      <c r="T375" s="700"/>
      <c r="U375" s="700"/>
      <c r="V375" s="700"/>
      <c r="W375" s="700"/>
      <c r="X375" s="700"/>
      <c r="Y375" s="700"/>
      <c r="Z375" s="700"/>
      <c r="AA375" s="700"/>
      <c r="AB375" s="700"/>
      <c r="AC375" s="700"/>
      <c r="AD375" s="700"/>
      <c r="AE375" s="700"/>
      <c r="AF375" s="700"/>
      <c r="AG375" s="700"/>
      <c r="AH375" s="700"/>
      <c r="AI375" s="700"/>
      <c r="AJ375" s="700"/>
      <c r="AK375" s="700"/>
      <c r="AL375" s="700"/>
      <c r="AM375" s="700"/>
      <c r="AN375" s="700"/>
      <c r="AO375" s="700"/>
      <c r="AP375" s="700"/>
      <c r="AQ375" s="700"/>
      <c r="AR375" s="700"/>
      <c r="AS375" s="700"/>
      <c r="AT375" s="700"/>
      <c r="AU375" s="700"/>
      <c r="AV375" s="700"/>
      <c r="AW375" s="700"/>
      <c r="AX375" s="700"/>
      <c r="AY375" s="700"/>
      <c r="AZ375" s="700"/>
      <c r="BA375" s="700"/>
      <c r="BB375" s="700"/>
      <c r="BC375" s="700"/>
      <c r="BD375" s="700"/>
    </row>
    <row r="376" spans="5:56" ht="18" customHeight="1" x14ac:dyDescent="0.25">
      <c r="E376" s="222"/>
      <c r="F376" s="222"/>
      <c r="G376" s="222"/>
      <c r="H376" s="222"/>
    </row>
    <row r="377" spans="5:56" ht="47.45" customHeight="1" x14ac:dyDescent="0.25">
      <c r="E377" s="699" t="s">
        <v>625</v>
      </c>
      <c r="F377" s="699"/>
      <c r="G377" s="699"/>
      <c r="H377" s="699"/>
      <c r="I377" s="700" t="s">
        <v>627</v>
      </c>
      <c r="J377" s="700"/>
      <c r="K377" s="700"/>
      <c r="L377" s="700"/>
      <c r="M377" s="700"/>
      <c r="N377" s="700"/>
      <c r="O377" s="700"/>
      <c r="P377" s="700"/>
      <c r="Q377" s="700"/>
      <c r="R377" s="700"/>
      <c r="S377" s="700"/>
      <c r="T377" s="700"/>
      <c r="U377" s="700"/>
      <c r="V377" s="700"/>
      <c r="W377" s="700"/>
      <c r="X377" s="700"/>
      <c r="Y377" s="700"/>
      <c r="Z377" s="700"/>
      <c r="AA377" s="700"/>
      <c r="AB377" s="700"/>
      <c r="AC377" s="700"/>
      <c r="AD377" s="700"/>
      <c r="AE377" s="700"/>
      <c r="AF377" s="700"/>
      <c r="AG377" s="700"/>
      <c r="AH377" s="700"/>
      <c r="AI377" s="700"/>
      <c r="AJ377" s="700"/>
      <c r="AK377" s="700"/>
      <c r="AL377" s="700"/>
      <c r="AM377" s="700"/>
      <c r="AN377" s="700"/>
      <c r="AO377" s="700"/>
      <c r="AP377" s="700"/>
      <c r="AQ377" s="700"/>
      <c r="AR377" s="700"/>
      <c r="AS377" s="700"/>
      <c r="AT377" s="700"/>
      <c r="AU377" s="700"/>
      <c r="AV377" s="700"/>
      <c r="AW377" s="700"/>
      <c r="AX377" s="700"/>
      <c r="AY377" s="700"/>
      <c r="AZ377" s="700"/>
      <c r="BA377" s="700"/>
      <c r="BB377" s="700"/>
      <c r="BC377" s="700"/>
      <c r="BD377" s="700"/>
    </row>
    <row r="378" spans="5:56" ht="47.45" customHeight="1" x14ac:dyDescent="0.25">
      <c r="E378" s="699" t="s">
        <v>626</v>
      </c>
      <c r="F378" s="699"/>
      <c r="G378" s="699"/>
      <c r="H378" s="699"/>
      <c r="I378" s="700" t="s">
        <v>628</v>
      </c>
      <c r="J378" s="700"/>
      <c r="K378" s="700"/>
      <c r="L378" s="700"/>
      <c r="M378" s="700"/>
      <c r="N378" s="700"/>
      <c r="O378" s="700"/>
      <c r="P378" s="700"/>
      <c r="Q378" s="700"/>
      <c r="R378" s="700"/>
      <c r="S378" s="700"/>
      <c r="T378" s="700"/>
      <c r="U378" s="700"/>
      <c r="V378" s="700"/>
      <c r="W378" s="700"/>
      <c r="X378" s="700"/>
      <c r="Y378" s="700"/>
      <c r="Z378" s="700"/>
      <c r="AA378" s="700"/>
      <c r="AB378" s="700"/>
      <c r="AC378" s="700"/>
      <c r="AD378" s="700"/>
      <c r="AE378" s="700"/>
      <c r="AF378" s="700"/>
      <c r="AG378" s="700"/>
      <c r="AH378" s="700"/>
      <c r="AI378" s="700"/>
      <c r="AJ378" s="700"/>
      <c r="AK378" s="700"/>
      <c r="AL378" s="700"/>
      <c r="AM378" s="700"/>
      <c r="AN378" s="700"/>
      <c r="AO378" s="700"/>
      <c r="AP378" s="700"/>
      <c r="AQ378" s="700"/>
      <c r="AR378" s="700"/>
      <c r="AS378" s="700"/>
      <c r="AT378" s="700"/>
      <c r="AU378" s="700"/>
      <c r="AV378" s="700"/>
      <c r="AW378" s="700"/>
      <c r="AX378" s="700"/>
      <c r="AY378" s="700"/>
      <c r="AZ378" s="700"/>
      <c r="BA378" s="700"/>
      <c r="BB378" s="700"/>
      <c r="BC378" s="700"/>
      <c r="BD378" s="700"/>
    </row>
    <row r="380" spans="5:56" ht="18" customHeight="1" x14ac:dyDescent="0.25">
      <c r="E380" s="706" t="s">
        <v>730</v>
      </c>
      <c r="F380" s="706"/>
      <c r="G380" s="706"/>
      <c r="H380" s="706"/>
      <c r="I380" s="706"/>
      <c r="J380" s="706"/>
      <c r="K380" s="706"/>
      <c r="L380" s="706"/>
      <c r="M380" s="706"/>
      <c r="N380" s="706"/>
      <c r="O380" s="706"/>
      <c r="P380" s="706"/>
      <c r="Q380" s="706"/>
      <c r="R380" s="706"/>
      <c r="S380" s="706"/>
      <c r="T380" s="706"/>
      <c r="U380" s="706"/>
      <c r="V380" s="706"/>
      <c r="W380" s="706"/>
      <c r="X380" s="706"/>
      <c r="Y380" s="706"/>
      <c r="Z380" s="706"/>
      <c r="AA380" s="706"/>
      <c r="AB380" s="706"/>
      <c r="AC380" s="706"/>
      <c r="AD380" s="706"/>
      <c r="AE380" s="706"/>
      <c r="AF380" s="706"/>
      <c r="AG380" s="706"/>
      <c r="AH380" s="706"/>
      <c r="AI380" s="706"/>
      <c r="AJ380" s="706"/>
      <c r="AK380" s="706"/>
      <c r="AL380" s="706"/>
      <c r="AM380" s="706"/>
      <c r="AN380" s="706"/>
      <c r="AO380" s="706"/>
      <c r="AP380" s="706"/>
      <c r="AQ380" s="706"/>
      <c r="AR380" s="706"/>
      <c r="AS380" s="706"/>
      <c r="AT380" s="706"/>
      <c r="AU380" s="706"/>
      <c r="AV380" s="706"/>
      <c r="AW380" s="706"/>
      <c r="AX380" s="706"/>
      <c r="AY380" s="706"/>
      <c r="AZ380" s="706"/>
      <c r="BA380" s="706"/>
      <c r="BB380" s="706"/>
      <c r="BC380" s="706"/>
      <c r="BD380" s="706"/>
    </row>
    <row r="381" spans="5:56" ht="18" customHeight="1" x14ac:dyDescent="0.25">
      <c r="E381" s="707" t="s">
        <v>631</v>
      </c>
      <c r="F381" s="707"/>
      <c r="G381" s="707"/>
      <c r="H381" s="707"/>
      <c r="I381" s="707"/>
      <c r="J381" s="707"/>
      <c r="K381" s="707"/>
      <c r="L381" s="707"/>
      <c r="M381" s="707"/>
      <c r="N381" s="707"/>
      <c r="O381" s="707"/>
      <c r="P381" s="707"/>
      <c r="Q381" s="707"/>
      <c r="R381" s="707"/>
      <c r="S381" s="707"/>
      <c r="T381" s="707"/>
      <c r="U381" s="707"/>
      <c r="V381" s="707"/>
      <c r="W381" s="707"/>
      <c r="X381" s="707"/>
      <c r="Y381" s="707"/>
      <c r="Z381" s="707"/>
      <c r="AA381" s="707"/>
      <c r="AB381" s="707"/>
      <c r="AC381" s="707"/>
      <c r="AD381" s="707"/>
      <c r="AE381" s="707"/>
      <c r="AF381" s="707"/>
      <c r="AG381" s="707"/>
      <c r="AH381" s="707"/>
      <c r="AI381" s="707"/>
      <c r="AJ381" s="707"/>
      <c r="AK381" s="707"/>
      <c r="AL381" s="707"/>
      <c r="AM381" s="707"/>
      <c r="AN381" s="707"/>
      <c r="AO381" s="707"/>
      <c r="AP381" s="707"/>
      <c r="AQ381" s="707"/>
      <c r="AR381" s="707"/>
      <c r="AS381" s="707"/>
      <c r="AT381" s="707"/>
      <c r="AU381" s="707"/>
      <c r="AV381" s="707"/>
      <c r="AW381" s="707"/>
      <c r="AX381" s="707"/>
      <c r="AY381" s="707"/>
      <c r="AZ381" s="707"/>
      <c r="BA381" s="707"/>
      <c r="BB381" s="707"/>
      <c r="BC381" s="707"/>
      <c r="BD381" s="707"/>
    </row>
    <row r="382" spans="5:56" ht="15.75" x14ac:dyDescent="0.25">
      <c r="E382" s="708" t="s">
        <v>632</v>
      </c>
      <c r="F382" s="709"/>
      <c r="G382" s="709"/>
      <c r="H382" s="709"/>
      <c r="I382" s="709"/>
      <c r="J382" s="709"/>
      <c r="K382" s="709"/>
      <c r="L382" s="709"/>
      <c r="M382" s="709"/>
      <c r="N382" s="709"/>
      <c r="O382" s="709"/>
      <c r="P382" s="709"/>
      <c r="Q382" s="709"/>
      <c r="R382" s="709"/>
      <c r="S382" s="709"/>
      <c r="T382" s="709"/>
      <c r="U382" s="709"/>
      <c r="V382" s="709"/>
      <c r="W382" s="709"/>
      <c r="X382" s="709"/>
      <c r="Y382" s="709"/>
      <c r="Z382" s="709"/>
      <c r="AA382" s="709"/>
      <c r="AB382" s="709"/>
      <c r="AC382" s="709"/>
      <c r="AD382" s="709"/>
      <c r="AE382" s="709"/>
      <c r="AF382" s="709"/>
      <c r="AG382" s="709"/>
      <c r="AH382" s="709"/>
      <c r="AI382" s="709"/>
      <c r="AJ382" s="709"/>
      <c r="AK382" s="709"/>
      <c r="AL382" s="709"/>
      <c r="AM382" s="709"/>
      <c r="AN382" s="709"/>
      <c r="AO382" s="709"/>
      <c r="AP382" s="709"/>
      <c r="AQ382" s="709"/>
      <c r="AR382" s="709"/>
      <c r="AS382" s="709"/>
      <c r="AT382" s="709"/>
      <c r="AU382" s="709"/>
      <c r="AV382" s="709"/>
      <c r="AW382" s="709"/>
      <c r="AX382" s="709"/>
      <c r="AY382" s="709"/>
      <c r="AZ382" s="709"/>
      <c r="BA382" s="709"/>
      <c r="BB382" s="709"/>
      <c r="BC382" s="709"/>
      <c r="BD382" s="710"/>
    </row>
    <row r="383" spans="5:56" ht="70.150000000000006" customHeight="1" x14ac:dyDescent="0.25">
      <c r="E383" s="704" t="s">
        <v>727</v>
      </c>
      <c r="F383" s="704"/>
      <c r="G383" s="704"/>
      <c r="H383" s="704"/>
      <c r="I383" s="705" t="s">
        <v>731</v>
      </c>
      <c r="J383" s="705"/>
      <c r="K383" s="705"/>
      <c r="L383" s="705"/>
      <c r="M383" s="705"/>
      <c r="N383" s="705"/>
      <c r="O383" s="705"/>
      <c r="P383" s="705"/>
      <c r="Q383" s="705"/>
      <c r="R383" s="705"/>
      <c r="S383" s="705"/>
      <c r="T383" s="705"/>
      <c r="U383" s="705"/>
      <c r="V383" s="705"/>
      <c r="W383" s="705"/>
      <c r="X383" s="705"/>
      <c r="Y383" s="705"/>
      <c r="Z383" s="705"/>
      <c r="AA383" s="705"/>
      <c r="AB383" s="705"/>
      <c r="AC383" s="705"/>
      <c r="AD383" s="705"/>
      <c r="AE383" s="705"/>
      <c r="AF383" s="705"/>
      <c r="AG383" s="705"/>
      <c r="AH383" s="705"/>
      <c r="AI383" s="705"/>
      <c r="AJ383" s="705"/>
      <c r="AK383" s="705"/>
      <c r="AL383" s="705"/>
      <c r="AM383" s="705"/>
      <c r="AN383" s="705"/>
      <c r="AO383" s="705"/>
      <c r="AP383" s="705"/>
      <c r="AQ383" s="705"/>
      <c r="AR383" s="705"/>
      <c r="AS383" s="705"/>
      <c r="AT383" s="705"/>
      <c r="AU383" s="705"/>
      <c r="AV383" s="705"/>
      <c r="AW383" s="705"/>
      <c r="AX383" s="705"/>
      <c r="AY383" s="705"/>
      <c r="AZ383" s="705"/>
      <c r="BA383" s="705"/>
      <c r="BB383" s="705"/>
      <c r="BC383" s="705"/>
      <c r="BD383" s="705"/>
    </row>
    <row r="384" spans="5:56" ht="60" customHeight="1" x14ac:dyDescent="0.25">
      <c r="E384" s="704" t="s">
        <v>629</v>
      </c>
      <c r="F384" s="704"/>
      <c r="G384" s="704"/>
      <c r="H384" s="704"/>
      <c r="I384" s="705" t="s">
        <v>634</v>
      </c>
      <c r="J384" s="705"/>
      <c r="K384" s="705"/>
      <c r="L384" s="705"/>
      <c r="M384" s="705"/>
      <c r="N384" s="705"/>
      <c r="O384" s="705"/>
      <c r="P384" s="705"/>
      <c r="Q384" s="705"/>
      <c r="R384" s="705"/>
      <c r="S384" s="705"/>
      <c r="T384" s="705"/>
      <c r="U384" s="705"/>
      <c r="V384" s="705"/>
      <c r="W384" s="705"/>
      <c r="X384" s="705"/>
      <c r="Y384" s="705"/>
      <c r="Z384" s="705"/>
      <c r="AA384" s="705"/>
      <c r="AB384" s="705"/>
      <c r="AC384" s="705"/>
      <c r="AD384" s="705"/>
      <c r="AE384" s="705"/>
      <c r="AF384" s="705"/>
      <c r="AG384" s="705"/>
      <c r="AH384" s="705"/>
      <c r="AI384" s="705"/>
      <c r="AJ384" s="705"/>
      <c r="AK384" s="705"/>
      <c r="AL384" s="705"/>
      <c r="AM384" s="705"/>
      <c r="AN384" s="705"/>
      <c r="AO384" s="705"/>
      <c r="AP384" s="705"/>
      <c r="AQ384" s="705"/>
      <c r="AR384" s="705"/>
      <c r="AS384" s="705"/>
      <c r="AT384" s="705"/>
      <c r="AU384" s="705"/>
      <c r="AV384" s="705"/>
      <c r="AW384" s="705"/>
      <c r="AX384" s="705"/>
      <c r="AY384" s="705"/>
      <c r="AZ384" s="705"/>
      <c r="BA384" s="705"/>
      <c r="BB384" s="705"/>
      <c r="BC384" s="705"/>
      <c r="BD384" s="705"/>
    </row>
    <row r="385" spans="5:56" ht="33.6" customHeight="1" x14ac:dyDescent="0.25">
      <c r="E385" s="704" t="s">
        <v>349</v>
      </c>
      <c r="F385" s="704"/>
      <c r="G385" s="704"/>
      <c r="H385" s="704"/>
      <c r="I385" s="705" t="s">
        <v>633</v>
      </c>
      <c r="J385" s="705"/>
      <c r="K385" s="705"/>
      <c r="L385" s="705"/>
      <c r="M385" s="705"/>
      <c r="N385" s="705"/>
      <c r="O385" s="705"/>
      <c r="P385" s="705"/>
      <c r="Q385" s="705"/>
      <c r="R385" s="705"/>
      <c r="S385" s="705"/>
      <c r="T385" s="705"/>
      <c r="U385" s="705"/>
      <c r="V385" s="705"/>
      <c r="W385" s="705"/>
      <c r="X385" s="705"/>
      <c r="Y385" s="705"/>
      <c r="Z385" s="705"/>
      <c r="AA385" s="705"/>
      <c r="AB385" s="705"/>
      <c r="AC385" s="705"/>
      <c r="AD385" s="705"/>
      <c r="AE385" s="705"/>
      <c r="AF385" s="705"/>
      <c r="AG385" s="705"/>
      <c r="AH385" s="705"/>
      <c r="AI385" s="705"/>
      <c r="AJ385" s="705"/>
      <c r="AK385" s="705"/>
      <c r="AL385" s="705"/>
      <c r="AM385" s="705"/>
      <c r="AN385" s="705"/>
      <c r="AO385" s="705"/>
      <c r="AP385" s="705"/>
      <c r="AQ385" s="705"/>
      <c r="AR385" s="705"/>
      <c r="AS385" s="705"/>
      <c r="AT385" s="705"/>
      <c r="AU385" s="705"/>
      <c r="AV385" s="705"/>
      <c r="AW385" s="705"/>
      <c r="AX385" s="705"/>
      <c r="AY385" s="705"/>
      <c r="AZ385" s="705"/>
      <c r="BA385" s="705"/>
      <c r="BB385" s="705"/>
      <c r="BC385" s="705"/>
      <c r="BD385" s="705"/>
    </row>
    <row r="386" spans="5:56" ht="33.6" customHeight="1" x14ac:dyDescent="0.25">
      <c r="E386" s="711" t="s">
        <v>728</v>
      </c>
      <c r="F386" s="711"/>
      <c r="G386" s="711"/>
      <c r="H386" s="711"/>
      <c r="I386" s="711"/>
      <c r="J386" s="711"/>
      <c r="K386" s="711"/>
      <c r="L386" s="711"/>
      <c r="M386" s="711"/>
      <c r="N386" s="711"/>
      <c r="O386" s="711"/>
      <c r="P386" s="711"/>
      <c r="Q386" s="711"/>
      <c r="R386" s="711"/>
      <c r="S386" s="711"/>
      <c r="T386" s="711"/>
      <c r="U386" s="711"/>
      <c r="V386" s="711"/>
      <c r="W386" s="711"/>
      <c r="X386" s="711"/>
      <c r="Y386" s="711"/>
      <c r="Z386" s="711"/>
      <c r="AA386" s="711"/>
      <c r="AB386" s="711"/>
      <c r="AC386" s="711"/>
      <c r="AD386" s="711"/>
      <c r="AE386" s="711"/>
      <c r="AF386" s="711"/>
      <c r="AG386" s="711"/>
      <c r="AH386" s="711"/>
      <c r="AI386" s="711"/>
      <c r="AJ386" s="711"/>
      <c r="AK386" s="711"/>
      <c r="AL386" s="711"/>
      <c r="AM386" s="711"/>
      <c r="AN386" s="711"/>
      <c r="AO386" s="711"/>
      <c r="AP386" s="711"/>
      <c r="AQ386" s="711"/>
      <c r="AR386" s="711"/>
      <c r="AS386" s="711"/>
      <c r="AT386" s="711"/>
      <c r="AU386" s="711"/>
      <c r="AV386" s="711"/>
      <c r="AW386" s="711"/>
      <c r="AX386" s="711"/>
      <c r="AY386" s="711"/>
      <c r="AZ386" s="711"/>
      <c r="BA386" s="711"/>
      <c r="BB386" s="711"/>
      <c r="BC386" s="711"/>
      <c r="BD386" s="711"/>
    </row>
    <row r="387" spans="5:56" ht="79.900000000000006" customHeight="1" x14ac:dyDescent="0.25">
      <c r="E387" s="702" t="s">
        <v>630</v>
      </c>
      <c r="F387" s="702"/>
      <c r="G387" s="702"/>
      <c r="H387" s="702"/>
      <c r="I387" s="703" t="s">
        <v>635</v>
      </c>
      <c r="J387" s="703"/>
      <c r="K387" s="703"/>
      <c r="L387" s="703"/>
      <c r="M387" s="703"/>
      <c r="N387" s="703"/>
      <c r="O387" s="703"/>
      <c r="P387" s="703"/>
      <c r="Q387" s="703"/>
      <c r="R387" s="703"/>
      <c r="S387" s="703"/>
      <c r="T387" s="703"/>
      <c r="U387" s="703"/>
      <c r="V387" s="703"/>
      <c r="W387" s="703"/>
      <c r="X387" s="703"/>
      <c r="Y387" s="703"/>
      <c r="Z387" s="703"/>
      <c r="AA387" s="703"/>
      <c r="AB387" s="703"/>
      <c r="AC387" s="703"/>
      <c r="AD387" s="703"/>
      <c r="AE387" s="703"/>
      <c r="AF387" s="703"/>
      <c r="AG387" s="703"/>
      <c r="AH387" s="703"/>
      <c r="AI387" s="703"/>
      <c r="AJ387" s="703"/>
      <c r="AK387" s="703"/>
      <c r="AL387" s="703"/>
      <c r="AM387" s="703"/>
      <c r="AN387" s="703"/>
      <c r="AO387" s="703"/>
      <c r="AP387" s="703"/>
      <c r="AQ387" s="703"/>
      <c r="AR387" s="703"/>
      <c r="AS387" s="703"/>
      <c r="AT387" s="703"/>
      <c r="AU387" s="703"/>
      <c r="AV387" s="703"/>
      <c r="AW387" s="703"/>
      <c r="AX387" s="703"/>
      <c r="AY387" s="703"/>
      <c r="AZ387" s="703"/>
      <c r="BA387" s="703"/>
      <c r="BB387" s="703"/>
      <c r="BC387" s="703"/>
      <c r="BD387" s="703"/>
    </row>
    <row r="388" spans="5:56" ht="67.150000000000006" customHeight="1" x14ac:dyDescent="0.25">
      <c r="E388" s="702" t="s">
        <v>101</v>
      </c>
      <c r="F388" s="702"/>
      <c r="G388" s="702"/>
      <c r="H388" s="702"/>
      <c r="I388" s="703" t="s">
        <v>636</v>
      </c>
      <c r="J388" s="703"/>
      <c r="K388" s="703"/>
      <c r="L388" s="703"/>
      <c r="M388" s="703"/>
      <c r="N388" s="703"/>
      <c r="O388" s="703"/>
      <c r="P388" s="703"/>
      <c r="Q388" s="703"/>
      <c r="R388" s="703"/>
      <c r="S388" s="703"/>
      <c r="T388" s="703"/>
      <c r="U388" s="703"/>
      <c r="V388" s="703"/>
      <c r="W388" s="703"/>
      <c r="X388" s="703"/>
      <c r="Y388" s="703"/>
      <c r="Z388" s="703"/>
      <c r="AA388" s="703"/>
      <c r="AB388" s="703"/>
      <c r="AC388" s="703"/>
      <c r="AD388" s="703"/>
      <c r="AE388" s="703"/>
      <c r="AF388" s="703"/>
      <c r="AG388" s="703"/>
      <c r="AH388" s="703"/>
      <c r="AI388" s="703"/>
      <c r="AJ388" s="703"/>
      <c r="AK388" s="703"/>
      <c r="AL388" s="703"/>
      <c r="AM388" s="703"/>
      <c r="AN388" s="703"/>
      <c r="AO388" s="703"/>
      <c r="AP388" s="703"/>
      <c r="AQ388" s="703"/>
      <c r="AR388" s="703"/>
      <c r="AS388" s="703"/>
      <c r="AT388" s="703"/>
      <c r="AU388" s="703"/>
      <c r="AV388" s="703"/>
      <c r="AW388" s="703"/>
      <c r="AX388" s="703"/>
      <c r="AY388" s="703"/>
      <c r="AZ388" s="703"/>
      <c r="BA388" s="703"/>
      <c r="BB388" s="703"/>
      <c r="BC388" s="703"/>
      <c r="BD388" s="703"/>
    </row>
    <row r="392" spans="5:56" ht="60.6" customHeight="1" x14ac:dyDescent="0.25">
      <c r="E392" s="699" t="s">
        <v>637</v>
      </c>
      <c r="F392" s="699"/>
      <c r="G392" s="699"/>
      <c r="H392" s="699"/>
      <c r="I392" s="700" t="s">
        <v>680</v>
      </c>
      <c r="J392" s="700"/>
      <c r="K392" s="700"/>
      <c r="L392" s="700"/>
      <c r="M392" s="700"/>
      <c r="N392" s="700"/>
      <c r="O392" s="700"/>
      <c r="P392" s="700"/>
      <c r="Q392" s="700"/>
      <c r="R392" s="700"/>
      <c r="S392" s="700"/>
      <c r="T392" s="700"/>
      <c r="U392" s="700"/>
      <c r="V392" s="700"/>
      <c r="W392" s="700"/>
      <c r="X392" s="700"/>
      <c r="Y392" s="700"/>
      <c r="Z392" s="700"/>
      <c r="AA392" s="700"/>
      <c r="AB392" s="700"/>
      <c r="AC392" s="700"/>
      <c r="AD392" s="700"/>
      <c r="AE392" s="700"/>
      <c r="AF392" s="700"/>
      <c r="AG392" s="700"/>
      <c r="AH392" s="700"/>
      <c r="AI392" s="700"/>
      <c r="AJ392" s="700"/>
      <c r="AK392" s="700"/>
      <c r="AL392" s="700"/>
      <c r="AM392" s="700"/>
      <c r="AN392" s="700"/>
      <c r="AO392" s="700"/>
      <c r="AP392" s="700"/>
      <c r="AQ392" s="700"/>
      <c r="AR392" s="700"/>
      <c r="AS392" s="700"/>
      <c r="AT392" s="700"/>
      <c r="AU392" s="700"/>
      <c r="AV392" s="700"/>
      <c r="AW392" s="700"/>
      <c r="AX392" s="700"/>
      <c r="AY392" s="700"/>
      <c r="AZ392" s="700"/>
      <c r="BA392" s="700"/>
      <c r="BB392" s="700"/>
      <c r="BC392" s="700"/>
      <c r="BD392" s="700"/>
    </row>
    <row r="393" spans="5:56" ht="72" customHeight="1" x14ac:dyDescent="0.25"/>
    <row r="394" spans="5:56" ht="77.25" customHeight="1" x14ac:dyDescent="0.25">
      <c r="E394" s="699" t="s">
        <v>166</v>
      </c>
      <c r="F394" s="699"/>
      <c r="G394" s="699"/>
      <c r="H394" s="699"/>
      <c r="I394" s="700" t="s">
        <v>638</v>
      </c>
      <c r="J394" s="700"/>
      <c r="K394" s="700"/>
      <c r="L394" s="700"/>
      <c r="M394" s="700"/>
      <c r="N394" s="700"/>
      <c r="O394" s="700"/>
      <c r="P394" s="700"/>
      <c r="Q394" s="700"/>
      <c r="R394" s="700"/>
      <c r="S394" s="700"/>
      <c r="T394" s="700"/>
      <c r="U394" s="700"/>
      <c r="V394" s="700"/>
      <c r="W394" s="700"/>
      <c r="X394" s="700"/>
      <c r="Y394" s="700"/>
      <c r="Z394" s="700"/>
      <c r="AA394" s="700"/>
      <c r="AB394" s="700"/>
      <c r="AC394" s="700"/>
      <c r="AD394" s="700"/>
      <c r="AE394" s="700"/>
      <c r="AF394" s="700"/>
      <c r="AG394" s="700"/>
      <c r="AH394" s="700"/>
      <c r="AI394" s="700"/>
      <c r="AJ394" s="700"/>
      <c r="AK394" s="700"/>
      <c r="AL394" s="700"/>
      <c r="AM394" s="700"/>
      <c r="AN394" s="700"/>
      <c r="AO394" s="700"/>
      <c r="AP394" s="700"/>
      <c r="AQ394" s="700"/>
      <c r="AR394" s="700"/>
      <c r="AS394" s="700"/>
      <c r="AT394" s="700"/>
      <c r="AU394" s="700"/>
      <c r="AV394" s="700"/>
      <c r="AW394" s="700"/>
      <c r="AX394" s="700"/>
      <c r="AY394" s="700"/>
      <c r="AZ394" s="700"/>
      <c r="BA394" s="700"/>
      <c r="BB394" s="700"/>
      <c r="BC394" s="700"/>
      <c r="BD394" s="700"/>
    </row>
    <row r="395" spans="5:56" ht="56.25" customHeight="1" x14ac:dyDescent="0.25">
      <c r="E395" s="699" t="s">
        <v>168</v>
      </c>
      <c r="F395" s="699"/>
      <c r="G395" s="699"/>
      <c r="H395" s="699"/>
      <c r="I395" s="700" t="s">
        <v>639</v>
      </c>
      <c r="J395" s="700"/>
      <c r="K395" s="700"/>
      <c r="L395" s="700"/>
      <c r="M395" s="700"/>
      <c r="N395" s="700"/>
      <c r="O395" s="700"/>
      <c r="P395" s="700"/>
      <c r="Q395" s="700"/>
      <c r="R395" s="700"/>
      <c r="S395" s="700"/>
      <c r="T395" s="700"/>
      <c r="U395" s="700"/>
      <c r="V395" s="700"/>
      <c r="W395" s="700"/>
      <c r="X395" s="700"/>
      <c r="Y395" s="700"/>
      <c r="Z395" s="700"/>
      <c r="AA395" s="700"/>
      <c r="AB395" s="700"/>
      <c r="AC395" s="700"/>
      <c r="AD395" s="700"/>
      <c r="AE395" s="700"/>
      <c r="AF395" s="700"/>
      <c r="AG395" s="700"/>
      <c r="AH395" s="700"/>
      <c r="AI395" s="700"/>
      <c r="AJ395" s="700"/>
      <c r="AK395" s="700"/>
      <c r="AL395" s="700"/>
      <c r="AM395" s="700"/>
      <c r="AN395" s="700"/>
      <c r="AO395" s="700"/>
      <c r="AP395" s="700"/>
      <c r="AQ395" s="700"/>
      <c r="AR395" s="700"/>
      <c r="AS395" s="700"/>
      <c r="AT395" s="700"/>
      <c r="AU395" s="700"/>
      <c r="AV395" s="700"/>
      <c r="AW395" s="700"/>
      <c r="AX395" s="700"/>
      <c r="AY395" s="700"/>
      <c r="AZ395" s="700"/>
      <c r="BA395" s="700"/>
      <c r="BB395" s="700"/>
      <c r="BC395" s="700"/>
      <c r="BD395" s="700"/>
    </row>
    <row r="396" spans="5:56" ht="107.25" customHeight="1" x14ac:dyDescent="0.25">
      <c r="E396" s="699" t="s">
        <v>172</v>
      </c>
      <c r="F396" s="699"/>
      <c r="G396" s="699"/>
      <c r="H396" s="699"/>
      <c r="I396" s="700" t="s">
        <v>640</v>
      </c>
      <c r="J396" s="700"/>
      <c r="K396" s="700"/>
      <c r="L396" s="700"/>
      <c r="M396" s="700"/>
      <c r="N396" s="700"/>
      <c r="O396" s="700"/>
      <c r="P396" s="700"/>
      <c r="Q396" s="700"/>
      <c r="R396" s="700"/>
      <c r="S396" s="700"/>
      <c r="T396" s="700"/>
      <c r="U396" s="700"/>
      <c r="V396" s="700"/>
      <c r="W396" s="700"/>
      <c r="X396" s="700"/>
      <c r="Y396" s="700"/>
      <c r="Z396" s="700"/>
      <c r="AA396" s="700"/>
      <c r="AB396" s="700"/>
      <c r="AC396" s="700"/>
      <c r="AD396" s="700"/>
      <c r="AE396" s="700"/>
      <c r="AF396" s="700"/>
      <c r="AG396" s="700"/>
      <c r="AH396" s="700"/>
      <c r="AI396" s="700"/>
      <c r="AJ396" s="700"/>
      <c r="AK396" s="700"/>
      <c r="AL396" s="700"/>
      <c r="AM396" s="700"/>
      <c r="AN396" s="700"/>
      <c r="AO396" s="700"/>
      <c r="AP396" s="700"/>
      <c r="AQ396" s="700"/>
      <c r="AR396" s="700"/>
      <c r="AS396" s="700"/>
      <c r="AT396" s="700"/>
      <c r="AU396" s="700"/>
      <c r="AV396" s="700"/>
      <c r="AW396" s="700"/>
      <c r="AX396" s="700"/>
      <c r="AY396" s="700"/>
      <c r="AZ396" s="700"/>
      <c r="BA396" s="700"/>
      <c r="BB396" s="700"/>
      <c r="BC396" s="700"/>
      <c r="BD396" s="700"/>
    </row>
    <row r="399" spans="5:56" ht="18" customHeight="1" x14ac:dyDescent="0.25">
      <c r="E399" s="698" t="s">
        <v>644</v>
      </c>
      <c r="F399" s="698"/>
      <c r="G399" s="698"/>
      <c r="H399" s="698"/>
      <c r="I399" s="698"/>
      <c r="J399" s="698"/>
      <c r="K399" s="698"/>
      <c r="L399" s="698"/>
      <c r="M399" s="698"/>
      <c r="N399" s="698"/>
      <c r="O399" s="698"/>
      <c r="P399" s="698"/>
      <c r="Q399" s="698"/>
      <c r="R399" s="698"/>
      <c r="S399" s="698"/>
      <c r="T399" s="698"/>
      <c r="U399" s="698"/>
      <c r="V399" s="698"/>
      <c r="W399" s="698"/>
      <c r="X399" s="698"/>
      <c r="Y399" s="698"/>
      <c r="Z399" s="698"/>
      <c r="AA399" s="698"/>
      <c r="AB399" s="698"/>
      <c r="AC399" s="698"/>
      <c r="AD399" s="698"/>
      <c r="AE399" s="698"/>
      <c r="AF399" s="698"/>
      <c r="AG399" s="698"/>
      <c r="AH399" s="698"/>
      <c r="AI399" s="698"/>
      <c r="AJ399" s="698"/>
      <c r="AK399" s="698"/>
      <c r="AL399" s="698"/>
      <c r="AM399" s="698"/>
      <c r="AN399" s="698"/>
      <c r="AO399" s="698"/>
      <c r="AP399" s="698"/>
      <c r="AQ399" s="698"/>
      <c r="AR399" s="698"/>
      <c r="AS399" s="698"/>
      <c r="AT399" s="698"/>
      <c r="AU399" s="698"/>
      <c r="AV399" s="698"/>
      <c r="AW399" s="698"/>
      <c r="AX399" s="698"/>
      <c r="AY399" s="698"/>
      <c r="AZ399" s="698"/>
      <c r="BA399" s="698"/>
      <c r="BB399" s="698"/>
      <c r="BC399" s="698"/>
      <c r="BD399" s="698"/>
    </row>
    <row r="400" spans="5:56" ht="84" customHeight="1" x14ac:dyDescent="0.25">
      <c r="E400" s="699" t="s">
        <v>200</v>
      </c>
      <c r="F400" s="699"/>
      <c r="G400" s="699"/>
      <c r="H400" s="699"/>
      <c r="I400" s="700" t="s">
        <v>641</v>
      </c>
      <c r="J400" s="700"/>
      <c r="K400" s="700"/>
      <c r="L400" s="700"/>
      <c r="M400" s="700"/>
      <c r="N400" s="700"/>
      <c r="O400" s="700"/>
      <c r="P400" s="700"/>
      <c r="Q400" s="700"/>
      <c r="R400" s="700"/>
      <c r="S400" s="700"/>
      <c r="T400" s="700"/>
      <c r="U400" s="700"/>
      <c r="V400" s="700"/>
      <c r="W400" s="700"/>
      <c r="X400" s="700"/>
      <c r="Y400" s="700"/>
      <c r="Z400" s="700"/>
      <c r="AA400" s="700"/>
      <c r="AB400" s="700"/>
      <c r="AC400" s="700"/>
      <c r="AD400" s="700"/>
      <c r="AE400" s="700"/>
      <c r="AF400" s="700"/>
      <c r="AG400" s="700"/>
      <c r="AH400" s="700"/>
      <c r="AI400" s="700"/>
      <c r="AJ400" s="700"/>
      <c r="AK400" s="700"/>
      <c r="AL400" s="700"/>
      <c r="AM400" s="700"/>
      <c r="AN400" s="700"/>
      <c r="AO400" s="700"/>
      <c r="AP400" s="700"/>
      <c r="AQ400" s="700"/>
      <c r="AR400" s="700"/>
      <c r="AS400" s="700"/>
      <c r="AT400" s="700"/>
      <c r="AU400" s="700"/>
      <c r="AV400" s="700"/>
      <c r="AW400" s="700"/>
      <c r="AX400" s="700"/>
      <c r="AY400" s="700"/>
      <c r="AZ400" s="700"/>
      <c r="BA400" s="700"/>
      <c r="BB400" s="700"/>
      <c r="BC400" s="700"/>
      <c r="BD400" s="700"/>
    </row>
    <row r="401" spans="5:56" ht="69" customHeight="1" x14ac:dyDescent="0.25">
      <c r="E401" s="699" t="s">
        <v>201</v>
      </c>
      <c r="F401" s="699"/>
      <c r="G401" s="699"/>
      <c r="H401" s="699"/>
      <c r="I401" s="700" t="s">
        <v>642</v>
      </c>
      <c r="J401" s="700"/>
      <c r="K401" s="700"/>
      <c r="L401" s="700"/>
      <c r="M401" s="700"/>
      <c r="N401" s="700"/>
      <c r="O401" s="700"/>
      <c r="P401" s="700"/>
      <c r="Q401" s="700"/>
      <c r="R401" s="700"/>
      <c r="S401" s="700"/>
      <c r="T401" s="700"/>
      <c r="U401" s="700"/>
      <c r="V401" s="700"/>
      <c r="W401" s="700"/>
      <c r="X401" s="700"/>
      <c r="Y401" s="700"/>
      <c r="Z401" s="700"/>
      <c r="AA401" s="700"/>
      <c r="AB401" s="700"/>
      <c r="AC401" s="700"/>
      <c r="AD401" s="700"/>
      <c r="AE401" s="700"/>
      <c r="AF401" s="700"/>
      <c r="AG401" s="700"/>
      <c r="AH401" s="700"/>
      <c r="AI401" s="700"/>
      <c r="AJ401" s="700"/>
      <c r="AK401" s="700"/>
      <c r="AL401" s="700"/>
      <c r="AM401" s="700"/>
      <c r="AN401" s="700"/>
      <c r="AO401" s="700"/>
      <c r="AP401" s="700"/>
      <c r="AQ401" s="700"/>
      <c r="AR401" s="700"/>
      <c r="AS401" s="700"/>
      <c r="AT401" s="700"/>
      <c r="AU401" s="700"/>
      <c r="AV401" s="700"/>
      <c r="AW401" s="700"/>
      <c r="AX401" s="700"/>
      <c r="AY401" s="700"/>
      <c r="AZ401" s="700"/>
      <c r="BA401" s="700"/>
      <c r="BB401" s="700"/>
      <c r="BC401" s="700"/>
      <c r="BD401" s="700"/>
    </row>
    <row r="402" spans="5:56" ht="66" customHeight="1" x14ac:dyDescent="0.25">
      <c r="E402" s="699" t="s">
        <v>202</v>
      </c>
      <c r="F402" s="699"/>
      <c r="G402" s="699"/>
      <c r="H402" s="699"/>
      <c r="I402" s="700" t="s">
        <v>643</v>
      </c>
      <c r="J402" s="700"/>
      <c r="K402" s="700"/>
      <c r="L402" s="700"/>
      <c r="M402" s="700"/>
      <c r="N402" s="700"/>
      <c r="O402" s="700"/>
      <c r="P402" s="700"/>
      <c r="Q402" s="700"/>
      <c r="R402" s="700"/>
      <c r="S402" s="700"/>
      <c r="T402" s="700"/>
      <c r="U402" s="700"/>
      <c r="V402" s="700"/>
      <c r="W402" s="700"/>
      <c r="X402" s="700"/>
      <c r="Y402" s="700"/>
      <c r="Z402" s="700"/>
      <c r="AA402" s="700"/>
      <c r="AB402" s="700"/>
      <c r="AC402" s="700"/>
      <c r="AD402" s="700"/>
      <c r="AE402" s="700"/>
      <c r="AF402" s="700"/>
      <c r="AG402" s="700"/>
      <c r="AH402" s="700"/>
      <c r="AI402" s="700"/>
      <c r="AJ402" s="700"/>
      <c r="AK402" s="700"/>
      <c r="AL402" s="700"/>
      <c r="AM402" s="700"/>
      <c r="AN402" s="700"/>
      <c r="AO402" s="700"/>
      <c r="AP402" s="700"/>
      <c r="AQ402" s="700"/>
      <c r="AR402" s="700"/>
      <c r="AS402" s="700"/>
      <c r="AT402" s="700"/>
      <c r="AU402" s="700"/>
      <c r="AV402" s="700"/>
      <c r="AW402" s="700"/>
      <c r="AX402" s="700"/>
      <c r="AY402" s="700"/>
      <c r="AZ402" s="700"/>
      <c r="BA402" s="700"/>
      <c r="BB402" s="700"/>
      <c r="BC402" s="700"/>
      <c r="BD402" s="700"/>
    </row>
    <row r="404" spans="5:56" ht="18" customHeight="1" x14ac:dyDescent="0.25">
      <c r="E404" s="698" t="s">
        <v>647</v>
      </c>
      <c r="F404" s="698"/>
      <c r="G404" s="698"/>
      <c r="H404" s="698"/>
      <c r="I404" s="698"/>
      <c r="J404" s="698"/>
      <c r="K404" s="698"/>
      <c r="L404" s="698"/>
      <c r="M404" s="698"/>
      <c r="N404" s="698"/>
      <c r="O404" s="698"/>
      <c r="P404" s="698"/>
      <c r="Q404" s="698"/>
      <c r="R404" s="698"/>
      <c r="S404" s="698"/>
      <c r="T404" s="698"/>
      <c r="U404" s="698"/>
      <c r="V404" s="698"/>
      <c r="W404" s="698"/>
      <c r="X404" s="698"/>
      <c r="Y404" s="698"/>
      <c r="Z404" s="698"/>
      <c r="AA404" s="698"/>
      <c r="AB404" s="698"/>
      <c r="AC404" s="698"/>
      <c r="AD404" s="698"/>
      <c r="AE404" s="698"/>
      <c r="AF404" s="698"/>
      <c r="AG404" s="698"/>
      <c r="AH404" s="698"/>
      <c r="AI404" s="698"/>
      <c r="AJ404" s="698"/>
      <c r="AK404" s="698"/>
      <c r="AL404" s="698"/>
      <c r="AM404" s="698"/>
      <c r="AN404" s="698"/>
      <c r="AO404" s="698"/>
      <c r="AP404" s="698"/>
      <c r="AQ404" s="698"/>
      <c r="AR404" s="698"/>
      <c r="AS404" s="698"/>
      <c r="AT404" s="698"/>
      <c r="AU404" s="698"/>
      <c r="AV404" s="698"/>
      <c r="AW404" s="698"/>
      <c r="AX404" s="698"/>
      <c r="AY404" s="698"/>
      <c r="AZ404" s="698"/>
      <c r="BA404" s="698"/>
      <c r="BB404" s="698"/>
      <c r="BC404" s="698"/>
      <c r="BD404" s="698"/>
    </row>
    <row r="405" spans="5:56" ht="88.5" customHeight="1" x14ac:dyDescent="0.25">
      <c r="E405" s="699" t="s">
        <v>204</v>
      </c>
      <c r="F405" s="699"/>
      <c r="G405" s="699"/>
      <c r="H405" s="699"/>
      <c r="I405" s="700" t="s">
        <v>645</v>
      </c>
      <c r="J405" s="700"/>
      <c r="K405" s="700"/>
      <c r="L405" s="700"/>
      <c r="M405" s="700"/>
      <c r="N405" s="700"/>
      <c r="O405" s="700"/>
      <c r="P405" s="700"/>
      <c r="Q405" s="700"/>
      <c r="R405" s="700"/>
      <c r="S405" s="700"/>
      <c r="T405" s="700"/>
      <c r="U405" s="700"/>
      <c r="V405" s="700"/>
      <c r="W405" s="700"/>
      <c r="X405" s="700"/>
      <c r="Y405" s="700"/>
      <c r="Z405" s="700"/>
      <c r="AA405" s="700"/>
      <c r="AB405" s="700"/>
      <c r="AC405" s="700"/>
      <c r="AD405" s="700"/>
      <c r="AE405" s="700"/>
      <c r="AF405" s="700"/>
      <c r="AG405" s="700"/>
      <c r="AH405" s="700"/>
      <c r="AI405" s="700"/>
      <c r="AJ405" s="700"/>
      <c r="AK405" s="700"/>
      <c r="AL405" s="700"/>
      <c r="AM405" s="700"/>
      <c r="AN405" s="700"/>
      <c r="AO405" s="700"/>
      <c r="AP405" s="700"/>
      <c r="AQ405" s="700"/>
      <c r="AR405" s="700"/>
      <c r="AS405" s="700"/>
      <c r="AT405" s="700"/>
      <c r="AU405" s="700"/>
      <c r="AV405" s="700"/>
      <c r="AW405" s="700"/>
      <c r="AX405" s="700"/>
      <c r="AY405" s="700"/>
      <c r="AZ405" s="700"/>
      <c r="BA405" s="700"/>
      <c r="BB405" s="700"/>
      <c r="BC405" s="700"/>
      <c r="BD405" s="700"/>
    </row>
    <row r="406" spans="5:56" ht="59.45" customHeight="1" x14ac:dyDescent="0.25">
      <c r="E406" s="699" t="s">
        <v>205</v>
      </c>
      <c r="F406" s="699"/>
      <c r="G406" s="699"/>
      <c r="H406" s="699"/>
      <c r="I406" s="700" t="s">
        <v>646</v>
      </c>
      <c r="J406" s="700"/>
      <c r="K406" s="700"/>
      <c r="L406" s="700"/>
      <c r="M406" s="700"/>
      <c r="N406" s="700"/>
      <c r="O406" s="700"/>
      <c r="P406" s="700"/>
      <c r="Q406" s="700"/>
      <c r="R406" s="700"/>
      <c r="S406" s="700"/>
      <c r="T406" s="700"/>
      <c r="U406" s="700"/>
      <c r="V406" s="700"/>
      <c r="W406" s="700"/>
      <c r="X406" s="700"/>
      <c r="Y406" s="700"/>
      <c r="Z406" s="700"/>
      <c r="AA406" s="700"/>
      <c r="AB406" s="700"/>
      <c r="AC406" s="700"/>
      <c r="AD406" s="700"/>
      <c r="AE406" s="700"/>
      <c r="AF406" s="700"/>
      <c r="AG406" s="700"/>
      <c r="AH406" s="700"/>
      <c r="AI406" s="700"/>
      <c r="AJ406" s="700"/>
      <c r="AK406" s="700"/>
      <c r="AL406" s="700"/>
      <c r="AM406" s="700"/>
      <c r="AN406" s="700"/>
      <c r="AO406" s="700"/>
      <c r="AP406" s="700"/>
      <c r="AQ406" s="700"/>
      <c r="AR406" s="700"/>
      <c r="AS406" s="700"/>
      <c r="AT406" s="700"/>
      <c r="AU406" s="700"/>
      <c r="AV406" s="700"/>
      <c r="AW406" s="700"/>
      <c r="AX406" s="700"/>
      <c r="AY406" s="700"/>
      <c r="AZ406" s="700"/>
      <c r="BA406" s="700"/>
      <c r="BB406" s="700"/>
      <c r="BC406" s="700"/>
      <c r="BD406" s="700"/>
    </row>
    <row r="411" spans="5:56" ht="18" customHeight="1" x14ac:dyDescent="0.25">
      <c r="E411" s="701" t="s">
        <v>648</v>
      </c>
      <c r="F411" s="701"/>
      <c r="G411" s="701"/>
      <c r="H411" s="701"/>
      <c r="I411" s="701"/>
      <c r="J411" s="701"/>
      <c r="K411" s="701"/>
      <c r="L411" s="701"/>
      <c r="M411" s="701"/>
      <c r="N411" s="701"/>
      <c r="O411" s="701"/>
      <c r="P411" s="701"/>
      <c r="Q411" s="701"/>
      <c r="R411" s="701"/>
      <c r="S411" s="701"/>
      <c r="T411" s="701"/>
      <c r="U411" s="701"/>
      <c r="V411" s="701"/>
      <c r="W411" s="701"/>
      <c r="X411" s="701"/>
      <c r="Y411" s="701"/>
      <c r="Z411" s="701"/>
      <c r="AA411" s="701"/>
      <c r="AB411" s="701"/>
      <c r="AC411" s="701"/>
      <c r="AD411" s="701"/>
      <c r="AE411" s="701"/>
      <c r="AF411" s="701"/>
      <c r="AG411" s="701"/>
      <c r="AH411" s="701"/>
      <c r="AI411" s="701"/>
      <c r="AJ411" s="701"/>
      <c r="AK411" s="701"/>
      <c r="AL411" s="701"/>
      <c r="AM411" s="701"/>
      <c r="AN411" s="701"/>
      <c r="AO411" s="701"/>
      <c r="AP411" s="701"/>
      <c r="AQ411" s="701"/>
      <c r="AR411" s="701"/>
      <c r="AS411" s="701"/>
      <c r="AT411" s="701"/>
      <c r="AU411" s="701"/>
      <c r="AV411" s="701"/>
      <c r="AW411" s="701"/>
      <c r="AX411" s="701"/>
      <c r="AY411" s="701"/>
      <c r="AZ411" s="701"/>
      <c r="BA411" s="701"/>
      <c r="BB411" s="701"/>
      <c r="BC411" s="701"/>
      <c r="BD411" s="701"/>
    </row>
    <row r="414" spans="5:56" ht="68.45" customHeight="1" x14ac:dyDescent="0.25">
      <c r="E414" s="699" t="s">
        <v>208</v>
      </c>
      <c r="F414" s="699"/>
      <c r="G414" s="699"/>
      <c r="H414" s="699"/>
      <c r="I414" s="700" t="s">
        <v>649</v>
      </c>
      <c r="J414" s="700"/>
      <c r="K414" s="700"/>
      <c r="L414" s="700"/>
      <c r="M414" s="700"/>
      <c r="N414" s="700"/>
      <c r="O414" s="700"/>
      <c r="P414" s="700"/>
      <c r="Q414" s="700"/>
      <c r="R414" s="700"/>
      <c r="S414" s="700"/>
      <c r="T414" s="700"/>
      <c r="U414" s="700"/>
      <c r="V414" s="700"/>
      <c r="W414" s="700"/>
      <c r="X414" s="700"/>
      <c r="Y414" s="700"/>
      <c r="Z414" s="700"/>
      <c r="AA414" s="700"/>
      <c r="AB414" s="700"/>
      <c r="AC414" s="700"/>
      <c r="AD414" s="700"/>
      <c r="AE414" s="700"/>
      <c r="AF414" s="700"/>
      <c r="AG414" s="700"/>
      <c r="AH414" s="700"/>
      <c r="AI414" s="700"/>
      <c r="AJ414" s="700"/>
      <c r="AK414" s="700"/>
      <c r="AL414" s="700"/>
      <c r="AM414" s="700"/>
      <c r="AN414" s="700"/>
      <c r="AO414" s="700"/>
      <c r="AP414" s="700"/>
      <c r="AQ414" s="700"/>
      <c r="AR414" s="700"/>
      <c r="AS414" s="700"/>
      <c r="AT414" s="700"/>
      <c r="AU414" s="700"/>
      <c r="AV414" s="700"/>
      <c r="AW414" s="700"/>
      <c r="AX414" s="700"/>
      <c r="AY414" s="700"/>
      <c r="AZ414" s="700"/>
      <c r="BA414" s="700"/>
      <c r="BB414" s="700"/>
      <c r="BC414" s="700"/>
      <c r="BD414" s="700"/>
    </row>
    <row r="415" spans="5:56" ht="18" customHeight="1" x14ac:dyDescent="0.25">
      <c r="E415" s="222"/>
      <c r="F415" s="222"/>
      <c r="G415" s="222"/>
      <c r="H415" s="222"/>
    </row>
    <row r="416" spans="5:56" ht="96.75" customHeight="1" x14ac:dyDescent="0.25">
      <c r="E416" s="699" t="s">
        <v>650</v>
      </c>
      <c r="F416" s="699"/>
      <c r="G416" s="699"/>
      <c r="H416" s="699"/>
      <c r="I416" s="700" t="s">
        <v>651</v>
      </c>
      <c r="J416" s="700"/>
      <c r="K416" s="700"/>
      <c r="L416" s="700"/>
      <c r="M416" s="700"/>
      <c r="N416" s="700"/>
      <c r="O416" s="700"/>
      <c r="P416" s="700"/>
      <c r="Q416" s="700"/>
      <c r="R416" s="700"/>
      <c r="S416" s="700"/>
      <c r="T416" s="700"/>
      <c r="U416" s="700"/>
      <c r="V416" s="700"/>
      <c r="W416" s="700"/>
      <c r="X416" s="700"/>
      <c r="Y416" s="700"/>
      <c r="Z416" s="700"/>
      <c r="AA416" s="700"/>
      <c r="AB416" s="700"/>
      <c r="AC416" s="700"/>
      <c r="AD416" s="700"/>
      <c r="AE416" s="700"/>
      <c r="AF416" s="700"/>
      <c r="AG416" s="700"/>
      <c r="AH416" s="700"/>
      <c r="AI416" s="700"/>
      <c r="AJ416" s="700"/>
      <c r="AK416" s="700"/>
      <c r="AL416" s="700"/>
      <c r="AM416" s="700"/>
      <c r="AN416" s="700"/>
      <c r="AO416" s="700"/>
      <c r="AP416" s="700"/>
      <c r="AQ416" s="700"/>
      <c r="AR416" s="700"/>
      <c r="AS416" s="700"/>
      <c r="AT416" s="700"/>
      <c r="AU416" s="700"/>
      <c r="AV416" s="700"/>
      <c r="AW416" s="700"/>
      <c r="AX416" s="700"/>
      <c r="AY416" s="700"/>
      <c r="AZ416" s="700"/>
      <c r="BA416" s="700"/>
      <c r="BB416" s="700"/>
      <c r="BC416" s="700"/>
      <c r="BD416" s="700"/>
    </row>
    <row r="417" spans="5:56" ht="67.150000000000006" customHeight="1" x14ac:dyDescent="0.25">
      <c r="E417" s="699" t="s">
        <v>652</v>
      </c>
      <c r="F417" s="699"/>
      <c r="G417" s="699"/>
      <c r="H417" s="699"/>
      <c r="I417" s="700" t="s">
        <v>653</v>
      </c>
      <c r="J417" s="700"/>
      <c r="K417" s="700"/>
      <c r="L417" s="700"/>
      <c r="M417" s="700"/>
      <c r="N417" s="700"/>
      <c r="O417" s="700"/>
      <c r="P417" s="700"/>
      <c r="Q417" s="700"/>
      <c r="R417" s="700"/>
      <c r="S417" s="700"/>
      <c r="T417" s="700"/>
      <c r="U417" s="700"/>
      <c r="V417" s="700"/>
      <c r="W417" s="700"/>
      <c r="X417" s="700"/>
      <c r="Y417" s="700"/>
      <c r="Z417" s="700"/>
      <c r="AA417" s="700"/>
      <c r="AB417" s="700"/>
      <c r="AC417" s="700"/>
      <c r="AD417" s="700"/>
      <c r="AE417" s="700"/>
      <c r="AF417" s="700"/>
      <c r="AG417" s="700"/>
      <c r="AH417" s="700"/>
      <c r="AI417" s="700"/>
      <c r="AJ417" s="700"/>
      <c r="AK417" s="700"/>
      <c r="AL417" s="700"/>
      <c r="AM417" s="700"/>
      <c r="AN417" s="700"/>
      <c r="AO417" s="700"/>
      <c r="AP417" s="700"/>
      <c r="AQ417" s="700"/>
      <c r="AR417" s="700"/>
      <c r="AS417" s="700"/>
      <c r="AT417" s="700"/>
      <c r="AU417" s="700"/>
      <c r="AV417" s="700"/>
      <c r="AW417" s="700"/>
      <c r="AX417" s="700"/>
      <c r="AY417" s="700"/>
      <c r="AZ417" s="700"/>
      <c r="BA417" s="700"/>
      <c r="BB417" s="700"/>
      <c r="BC417" s="700"/>
      <c r="BD417" s="700"/>
    </row>
    <row r="421" spans="5:56" ht="18" customHeight="1" x14ac:dyDescent="0.25">
      <c r="E421" s="701" t="s">
        <v>369</v>
      </c>
      <c r="F421" s="701"/>
      <c r="G421" s="701"/>
      <c r="H421" s="701"/>
      <c r="I421" s="701"/>
      <c r="J421" s="701"/>
      <c r="K421" s="701"/>
      <c r="L421" s="701"/>
      <c r="M421" s="701"/>
      <c r="N421" s="701"/>
      <c r="O421" s="701"/>
      <c r="P421" s="701"/>
      <c r="Q421" s="701"/>
      <c r="R421" s="701"/>
      <c r="S421" s="701"/>
      <c r="T421" s="701"/>
      <c r="U421" s="701"/>
      <c r="V421" s="701"/>
      <c r="W421" s="701"/>
      <c r="X421" s="701"/>
      <c r="Y421" s="701"/>
      <c r="Z421" s="701"/>
      <c r="AA421" s="701"/>
      <c r="AB421" s="701"/>
      <c r="AC421" s="701"/>
      <c r="AD421" s="701"/>
      <c r="AE421" s="701"/>
      <c r="AF421" s="701"/>
      <c r="AG421" s="701"/>
      <c r="AH421" s="701"/>
      <c r="AI421" s="701"/>
      <c r="AJ421" s="701"/>
      <c r="AK421" s="701"/>
      <c r="AL421" s="701"/>
      <c r="AM421" s="701"/>
      <c r="AN421" s="701"/>
      <c r="AO421" s="701"/>
      <c r="AP421" s="701"/>
      <c r="AQ421" s="701"/>
      <c r="AR421" s="701"/>
      <c r="AS421" s="701"/>
      <c r="AT421" s="701"/>
      <c r="AU421" s="701"/>
      <c r="AV421" s="701"/>
      <c r="AW421" s="701"/>
      <c r="AX421" s="701"/>
      <c r="AY421" s="701"/>
      <c r="AZ421" s="701"/>
      <c r="BA421" s="701"/>
      <c r="BB421" s="701"/>
      <c r="BC421" s="701"/>
      <c r="BD421" s="701"/>
    </row>
    <row r="423" spans="5:56" ht="18" customHeight="1" x14ac:dyDescent="0.25">
      <c r="E423" s="698" t="s">
        <v>657</v>
      </c>
      <c r="F423" s="698"/>
      <c r="G423" s="698"/>
      <c r="H423" s="698"/>
      <c r="I423" s="698"/>
      <c r="J423" s="698"/>
      <c r="K423" s="698"/>
      <c r="L423" s="698"/>
      <c r="M423" s="698"/>
      <c r="N423" s="698"/>
      <c r="O423" s="698"/>
      <c r="P423" s="698"/>
      <c r="Q423" s="698"/>
      <c r="R423" s="698"/>
      <c r="S423" s="698"/>
      <c r="T423" s="698"/>
      <c r="U423" s="698"/>
      <c r="V423" s="698"/>
      <c r="W423" s="698"/>
      <c r="X423" s="698"/>
      <c r="Y423" s="698"/>
      <c r="Z423" s="698"/>
      <c r="AA423" s="698"/>
      <c r="AB423" s="698"/>
      <c r="AC423" s="698"/>
      <c r="AD423" s="698"/>
      <c r="AE423" s="698"/>
      <c r="AF423" s="698"/>
      <c r="AG423" s="698"/>
      <c r="AH423" s="698"/>
      <c r="AI423" s="698"/>
      <c r="AJ423" s="698"/>
      <c r="AK423" s="698"/>
      <c r="AL423" s="698"/>
      <c r="AM423" s="698"/>
      <c r="AN423" s="698"/>
      <c r="AO423" s="698"/>
      <c r="AP423" s="698"/>
      <c r="AQ423" s="698"/>
      <c r="AR423" s="698"/>
      <c r="AS423" s="698"/>
      <c r="AT423" s="698"/>
      <c r="AU423" s="698"/>
      <c r="AV423" s="698"/>
      <c r="AW423" s="698"/>
      <c r="AX423" s="698"/>
      <c r="AY423" s="698"/>
      <c r="AZ423" s="698"/>
      <c r="BA423" s="698"/>
      <c r="BB423" s="698"/>
      <c r="BC423" s="698"/>
      <c r="BD423" s="698"/>
    </row>
    <row r="424" spans="5:56" ht="59.45" customHeight="1" x14ac:dyDescent="0.25">
      <c r="E424" s="699" t="s">
        <v>368</v>
      </c>
      <c r="F424" s="699"/>
      <c r="G424" s="699"/>
      <c r="H424" s="699"/>
      <c r="I424" s="700" t="s">
        <v>654</v>
      </c>
      <c r="J424" s="700"/>
      <c r="K424" s="700"/>
      <c r="L424" s="700"/>
      <c r="M424" s="700"/>
      <c r="N424" s="700"/>
      <c r="O424" s="700"/>
      <c r="P424" s="700"/>
      <c r="Q424" s="700"/>
      <c r="R424" s="700"/>
      <c r="S424" s="700"/>
      <c r="T424" s="700"/>
      <c r="U424" s="700"/>
      <c r="V424" s="700"/>
      <c r="W424" s="700"/>
      <c r="X424" s="700"/>
      <c r="Y424" s="700"/>
      <c r="Z424" s="700"/>
      <c r="AA424" s="700"/>
      <c r="AB424" s="700"/>
      <c r="AC424" s="700"/>
      <c r="AD424" s="700"/>
      <c r="AE424" s="700"/>
      <c r="AF424" s="700"/>
      <c r="AG424" s="700"/>
      <c r="AH424" s="700"/>
      <c r="AI424" s="700"/>
      <c r="AJ424" s="700"/>
      <c r="AK424" s="700"/>
      <c r="AL424" s="700"/>
      <c r="AM424" s="700"/>
      <c r="AN424" s="700"/>
      <c r="AO424" s="700"/>
      <c r="AP424" s="700"/>
      <c r="AQ424" s="700"/>
      <c r="AR424" s="700"/>
      <c r="AS424" s="700"/>
      <c r="AT424" s="700"/>
      <c r="AU424" s="700"/>
      <c r="AV424" s="700"/>
      <c r="AW424" s="700"/>
      <c r="AX424" s="700"/>
      <c r="AY424" s="700"/>
      <c r="AZ424" s="700"/>
      <c r="BA424" s="700"/>
      <c r="BB424" s="700"/>
      <c r="BC424" s="700"/>
      <c r="BD424" s="700"/>
    </row>
    <row r="425" spans="5:56" ht="59.45" customHeight="1" x14ac:dyDescent="0.25">
      <c r="E425" s="699" t="s">
        <v>655</v>
      </c>
      <c r="F425" s="699"/>
      <c r="G425" s="699"/>
      <c r="H425" s="699"/>
      <c r="I425" s="700" t="s">
        <v>656</v>
      </c>
      <c r="J425" s="700"/>
      <c r="K425" s="700"/>
      <c r="L425" s="700"/>
      <c r="M425" s="700"/>
      <c r="N425" s="700"/>
      <c r="O425" s="700"/>
      <c r="P425" s="700"/>
      <c r="Q425" s="700"/>
      <c r="R425" s="700"/>
      <c r="S425" s="700"/>
      <c r="T425" s="700"/>
      <c r="U425" s="700"/>
      <c r="V425" s="700"/>
      <c r="W425" s="700"/>
      <c r="X425" s="700"/>
      <c r="Y425" s="700"/>
      <c r="Z425" s="700"/>
      <c r="AA425" s="700"/>
      <c r="AB425" s="700"/>
      <c r="AC425" s="700"/>
      <c r="AD425" s="700"/>
      <c r="AE425" s="700"/>
      <c r="AF425" s="700"/>
      <c r="AG425" s="700"/>
      <c r="AH425" s="700"/>
      <c r="AI425" s="700"/>
      <c r="AJ425" s="700"/>
      <c r="AK425" s="700"/>
      <c r="AL425" s="700"/>
      <c r="AM425" s="700"/>
      <c r="AN425" s="700"/>
      <c r="AO425" s="700"/>
      <c r="AP425" s="700"/>
      <c r="AQ425" s="700"/>
      <c r="AR425" s="700"/>
      <c r="AS425" s="700"/>
      <c r="AT425" s="700"/>
      <c r="AU425" s="700"/>
      <c r="AV425" s="700"/>
      <c r="AW425" s="700"/>
      <c r="AX425" s="700"/>
      <c r="AY425" s="700"/>
      <c r="AZ425" s="700"/>
      <c r="BA425" s="700"/>
      <c r="BB425" s="700"/>
      <c r="BC425" s="700"/>
      <c r="BD425" s="700"/>
    </row>
    <row r="427" spans="5:56" ht="18" customHeight="1" x14ac:dyDescent="0.25">
      <c r="E427" s="698" t="s">
        <v>661</v>
      </c>
      <c r="F427" s="698"/>
      <c r="G427" s="698"/>
      <c r="H427" s="698"/>
      <c r="I427" s="698"/>
      <c r="J427" s="698"/>
      <c r="K427" s="698"/>
      <c r="L427" s="698"/>
      <c r="M427" s="698"/>
      <c r="N427" s="698"/>
      <c r="O427" s="698"/>
      <c r="P427" s="698"/>
      <c r="Q427" s="698"/>
      <c r="R427" s="698"/>
      <c r="S427" s="698"/>
      <c r="T427" s="698"/>
      <c r="U427" s="698"/>
      <c r="V427" s="698"/>
      <c r="W427" s="698"/>
      <c r="X427" s="698"/>
      <c r="Y427" s="698"/>
      <c r="Z427" s="698"/>
      <c r="AA427" s="698"/>
      <c r="AB427" s="698"/>
      <c r="AC427" s="698"/>
      <c r="AD427" s="698"/>
      <c r="AE427" s="698"/>
      <c r="AF427" s="698"/>
      <c r="AG427" s="698"/>
      <c r="AH427" s="698"/>
      <c r="AI427" s="698"/>
      <c r="AJ427" s="698"/>
      <c r="AK427" s="698"/>
      <c r="AL427" s="698"/>
      <c r="AM427" s="698"/>
      <c r="AN427" s="698"/>
      <c r="AO427" s="698"/>
      <c r="AP427" s="698"/>
      <c r="AQ427" s="698"/>
      <c r="AR427" s="698"/>
      <c r="AS427" s="698"/>
      <c r="AT427" s="698"/>
      <c r="AU427" s="698"/>
      <c r="AV427" s="698"/>
      <c r="AW427" s="698"/>
      <c r="AX427" s="698"/>
      <c r="AY427" s="698"/>
      <c r="AZ427" s="698"/>
      <c r="BA427" s="698"/>
      <c r="BB427" s="698"/>
      <c r="BC427" s="698"/>
      <c r="BD427" s="698"/>
    </row>
    <row r="428" spans="5:56" ht="53.45" customHeight="1" x14ac:dyDescent="0.25">
      <c r="E428" s="699" t="s">
        <v>658</v>
      </c>
      <c r="F428" s="699"/>
      <c r="G428" s="699"/>
      <c r="H428" s="699"/>
      <c r="I428" s="700" t="s">
        <v>659</v>
      </c>
      <c r="J428" s="700"/>
      <c r="K428" s="700"/>
      <c r="L428" s="700"/>
      <c r="M428" s="700"/>
      <c r="N428" s="700"/>
      <c r="O428" s="700"/>
      <c r="P428" s="700"/>
      <c r="Q428" s="700"/>
      <c r="R428" s="700"/>
      <c r="S428" s="700"/>
      <c r="T428" s="700"/>
      <c r="U428" s="700"/>
      <c r="V428" s="700"/>
      <c r="W428" s="700"/>
      <c r="X428" s="700"/>
      <c r="Y428" s="700"/>
      <c r="Z428" s="700"/>
      <c r="AA428" s="700"/>
      <c r="AB428" s="700"/>
      <c r="AC428" s="700"/>
      <c r="AD428" s="700"/>
      <c r="AE428" s="700"/>
      <c r="AF428" s="700"/>
      <c r="AG428" s="700"/>
      <c r="AH428" s="700"/>
      <c r="AI428" s="700"/>
      <c r="AJ428" s="700"/>
      <c r="AK428" s="700"/>
      <c r="AL428" s="700"/>
      <c r="AM428" s="700"/>
      <c r="AN428" s="700"/>
      <c r="AO428" s="700"/>
      <c r="AP428" s="700"/>
      <c r="AQ428" s="700"/>
      <c r="AR428" s="700"/>
      <c r="AS428" s="700"/>
      <c r="AT428" s="700"/>
      <c r="AU428" s="700"/>
      <c r="AV428" s="700"/>
      <c r="AW428" s="700"/>
      <c r="AX428" s="700"/>
      <c r="AY428" s="700"/>
      <c r="AZ428" s="700"/>
      <c r="BA428" s="700"/>
      <c r="BB428" s="700"/>
      <c r="BC428" s="700"/>
      <c r="BD428" s="700"/>
    </row>
    <row r="429" spans="5:56" ht="53.45" customHeight="1" x14ac:dyDescent="0.25">
      <c r="E429" s="699" t="s">
        <v>660</v>
      </c>
      <c r="F429" s="699"/>
      <c r="G429" s="699"/>
      <c r="H429" s="699"/>
      <c r="I429" s="700" t="s">
        <v>732</v>
      </c>
      <c r="J429" s="700"/>
      <c r="K429" s="700"/>
      <c r="L429" s="700"/>
      <c r="M429" s="700"/>
      <c r="N429" s="700"/>
      <c r="O429" s="700"/>
      <c r="P429" s="700"/>
      <c r="Q429" s="700"/>
      <c r="R429" s="700"/>
      <c r="S429" s="700"/>
      <c r="T429" s="700"/>
      <c r="U429" s="700"/>
      <c r="V429" s="700"/>
      <c r="W429" s="700"/>
      <c r="X429" s="700"/>
      <c r="Y429" s="700"/>
      <c r="Z429" s="700"/>
      <c r="AA429" s="700"/>
      <c r="AB429" s="700"/>
      <c r="AC429" s="700"/>
      <c r="AD429" s="700"/>
      <c r="AE429" s="700"/>
      <c r="AF429" s="700"/>
      <c r="AG429" s="700"/>
      <c r="AH429" s="700"/>
      <c r="AI429" s="700"/>
      <c r="AJ429" s="700"/>
      <c r="AK429" s="700"/>
      <c r="AL429" s="700"/>
      <c r="AM429" s="700"/>
      <c r="AN429" s="700"/>
      <c r="AO429" s="700"/>
      <c r="AP429" s="700"/>
      <c r="AQ429" s="700"/>
      <c r="AR429" s="700"/>
      <c r="AS429" s="700"/>
      <c r="AT429" s="700"/>
      <c r="AU429" s="700"/>
      <c r="AV429" s="700"/>
      <c r="AW429" s="700"/>
      <c r="AX429" s="700"/>
      <c r="AY429" s="700"/>
      <c r="AZ429" s="700"/>
      <c r="BA429" s="700"/>
      <c r="BB429" s="700"/>
      <c r="BC429" s="700"/>
      <c r="BD429" s="700"/>
    </row>
    <row r="431" spans="5:56" ht="18" customHeight="1" x14ac:dyDescent="0.25">
      <c r="E431" s="698" t="s">
        <v>482</v>
      </c>
      <c r="F431" s="698"/>
      <c r="G431" s="698"/>
      <c r="H431" s="698"/>
      <c r="I431" s="698"/>
      <c r="J431" s="698"/>
      <c r="K431" s="698"/>
      <c r="L431" s="698"/>
      <c r="M431" s="698"/>
      <c r="N431" s="698"/>
      <c r="O431" s="698"/>
      <c r="P431" s="698"/>
      <c r="Q431" s="698"/>
      <c r="R431" s="698"/>
      <c r="S431" s="698"/>
      <c r="T431" s="698"/>
      <c r="U431" s="698"/>
      <c r="V431" s="698"/>
      <c r="W431" s="698"/>
      <c r="X431" s="698"/>
      <c r="Y431" s="698"/>
      <c r="Z431" s="698"/>
      <c r="AA431" s="698"/>
      <c r="AB431" s="698"/>
      <c r="AC431" s="698"/>
      <c r="AD431" s="698"/>
      <c r="AE431" s="698"/>
      <c r="AF431" s="698"/>
      <c r="AG431" s="698"/>
      <c r="AH431" s="698"/>
      <c r="AI431" s="698"/>
      <c r="AJ431" s="698"/>
      <c r="AK431" s="698"/>
      <c r="AL431" s="698"/>
      <c r="AM431" s="698"/>
      <c r="AN431" s="698"/>
      <c r="AO431" s="698"/>
      <c r="AP431" s="698"/>
      <c r="AQ431" s="698"/>
      <c r="AR431" s="698"/>
      <c r="AS431" s="698"/>
      <c r="AT431" s="698"/>
      <c r="AU431" s="698"/>
      <c r="AV431" s="698"/>
      <c r="AW431" s="698"/>
      <c r="AX431" s="698"/>
      <c r="AY431" s="698"/>
      <c r="AZ431" s="698"/>
      <c r="BA431" s="698"/>
      <c r="BB431" s="698"/>
      <c r="BC431" s="698"/>
      <c r="BD431" s="698"/>
    </row>
    <row r="432" spans="5:56" ht="27" customHeight="1" x14ac:dyDescent="0.25">
      <c r="E432" s="699" t="s">
        <v>662</v>
      </c>
      <c r="F432" s="699"/>
      <c r="G432" s="699"/>
      <c r="H432" s="699"/>
      <c r="I432" s="700" t="s">
        <v>663</v>
      </c>
      <c r="J432" s="700"/>
      <c r="K432" s="700"/>
      <c r="L432" s="700"/>
      <c r="M432" s="700"/>
      <c r="N432" s="700"/>
      <c r="O432" s="700"/>
      <c r="P432" s="700"/>
      <c r="Q432" s="700"/>
      <c r="R432" s="700"/>
      <c r="S432" s="700"/>
      <c r="T432" s="700"/>
      <c r="U432" s="700"/>
      <c r="V432" s="700"/>
      <c r="W432" s="700"/>
      <c r="X432" s="700"/>
      <c r="Y432" s="700"/>
      <c r="Z432" s="700"/>
      <c r="AA432" s="700"/>
      <c r="AB432" s="700"/>
      <c r="AC432" s="700"/>
      <c r="AD432" s="700"/>
      <c r="AE432" s="700"/>
      <c r="AF432" s="700"/>
      <c r="AG432" s="700"/>
      <c r="AH432" s="700"/>
      <c r="AI432" s="700"/>
      <c r="AJ432" s="700"/>
      <c r="AK432" s="700"/>
      <c r="AL432" s="700"/>
      <c r="AM432" s="700"/>
      <c r="AN432" s="700"/>
      <c r="AO432" s="700"/>
      <c r="AP432" s="700"/>
      <c r="AQ432" s="700"/>
      <c r="AR432" s="700"/>
      <c r="AS432" s="700"/>
      <c r="AT432" s="700"/>
      <c r="AU432" s="700"/>
      <c r="AV432" s="700"/>
      <c r="AW432" s="700"/>
      <c r="AX432" s="700"/>
      <c r="AY432" s="700"/>
      <c r="AZ432" s="700"/>
      <c r="BA432" s="700"/>
      <c r="BB432" s="700"/>
      <c r="BC432" s="700"/>
      <c r="BD432" s="700"/>
    </row>
    <row r="433" spans="5:56" ht="27" customHeight="1" x14ac:dyDescent="0.25">
      <c r="E433" s="699" t="s">
        <v>664</v>
      </c>
      <c r="F433" s="699"/>
      <c r="G433" s="699"/>
      <c r="H433" s="699"/>
      <c r="I433" s="700" t="s">
        <v>665</v>
      </c>
      <c r="J433" s="700"/>
      <c r="K433" s="700"/>
      <c r="L433" s="700"/>
      <c r="M433" s="700"/>
      <c r="N433" s="700"/>
      <c r="O433" s="700"/>
      <c r="P433" s="700"/>
      <c r="Q433" s="700"/>
      <c r="R433" s="700"/>
      <c r="S433" s="700"/>
      <c r="T433" s="700"/>
      <c r="U433" s="700"/>
      <c r="V433" s="700"/>
      <c r="W433" s="700"/>
      <c r="X433" s="700"/>
      <c r="Y433" s="700"/>
      <c r="Z433" s="700"/>
      <c r="AA433" s="700"/>
      <c r="AB433" s="700"/>
      <c r="AC433" s="700"/>
      <c r="AD433" s="700"/>
      <c r="AE433" s="700"/>
      <c r="AF433" s="700"/>
      <c r="AG433" s="700"/>
      <c r="AH433" s="700"/>
      <c r="AI433" s="700"/>
      <c r="AJ433" s="700"/>
      <c r="AK433" s="700"/>
      <c r="AL433" s="700"/>
      <c r="AM433" s="700"/>
      <c r="AN433" s="700"/>
      <c r="AO433" s="700"/>
      <c r="AP433" s="700"/>
      <c r="AQ433" s="700"/>
      <c r="AR433" s="700"/>
      <c r="AS433" s="700"/>
      <c r="AT433" s="700"/>
      <c r="AU433" s="700"/>
      <c r="AV433" s="700"/>
      <c r="AW433" s="700"/>
      <c r="AX433" s="700"/>
      <c r="AY433" s="700"/>
      <c r="AZ433" s="700"/>
      <c r="BA433" s="700"/>
      <c r="BB433" s="700"/>
      <c r="BC433" s="700"/>
      <c r="BD433" s="700"/>
    </row>
    <row r="434" spans="5:56" ht="73.150000000000006" customHeight="1" x14ac:dyDescent="0.25">
      <c r="E434" s="699" t="s">
        <v>666</v>
      </c>
      <c r="F434" s="699"/>
      <c r="G434" s="699"/>
      <c r="H434" s="699"/>
      <c r="I434" s="700" t="s">
        <v>667</v>
      </c>
      <c r="J434" s="700"/>
      <c r="K434" s="700"/>
      <c r="L434" s="700"/>
      <c r="M434" s="700"/>
      <c r="N434" s="700"/>
      <c r="O434" s="700"/>
      <c r="P434" s="700"/>
      <c r="Q434" s="700"/>
      <c r="R434" s="700"/>
      <c r="S434" s="700"/>
      <c r="T434" s="700"/>
      <c r="U434" s="700"/>
      <c r="V434" s="700"/>
      <c r="W434" s="700"/>
      <c r="X434" s="700"/>
      <c r="Y434" s="700"/>
      <c r="Z434" s="700"/>
      <c r="AA434" s="700"/>
      <c r="AB434" s="700"/>
      <c r="AC434" s="700"/>
      <c r="AD434" s="700"/>
      <c r="AE434" s="700"/>
      <c r="AF434" s="700"/>
      <c r="AG434" s="700"/>
      <c r="AH434" s="700"/>
      <c r="AI434" s="700"/>
      <c r="AJ434" s="700"/>
      <c r="AK434" s="700"/>
      <c r="AL434" s="700"/>
      <c r="AM434" s="700"/>
      <c r="AN434" s="700"/>
      <c r="AO434" s="700"/>
      <c r="AP434" s="700"/>
      <c r="AQ434" s="700"/>
      <c r="AR434" s="700"/>
      <c r="AS434" s="700"/>
      <c r="AT434" s="700"/>
      <c r="AU434" s="700"/>
      <c r="AV434" s="700"/>
      <c r="AW434" s="700"/>
      <c r="AX434" s="700"/>
      <c r="AY434" s="700"/>
      <c r="AZ434" s="700"/>
      <c r="BA434" s="700"/>
      <c r="BB434" s="700"/>
      <c r="BC434" s="700"/>
      <c r="BD434" s="700"/>
    </row>
    <row r="435" spans="5:56" ht="18" customHeight="1" x14ac:dyDescent="0.25">
      <c r="E435" s="222"/>
      <c r="F435" s="222"/>
      <c r="G435" s="222"/>
      <c r="H435" s="222"/>
    </row>
  </sheetData>
  <sheetProtection selectLockedCells="1"/>
  <mergeCells count="248">
    <mergeCell ref="E363:H363"/>
    <mergeCell ref="I363:BD363"/>
    <mergeCell ref="E354:H354"/>
    <mergeCell ref="I354:BD354"/>
    <mergeCell ref="E355:H355"/>
    <mergeCell ref="I355:BD355"/>
    <mergeCell ref="E356:H356"/>
    <mergeCell ref="I356:BD356"/>
    <mergeCell ref="E357:H357"/>
    <mergeCell ref="I357:BD357"/>
    <mergeCell ref="E358:H358"/>
    <mergeCell ref="I358:BD358"/>
    <mergeCell ref="H303:BD303"/>
    <mergeCell ref="H304:BD304"/>
    <mergeCell ref="H305:BD305"/>
    <mergeCell ref="E290:G292"/>
    <mergeCell ref="E293:G298"/>
    <mergeCell ref="E299:G305"/>
    <mergeCell ref="H298:BD298"/>
    <mergeCell ref="H299:BD299"/>
    <mergeCell ref="H300:BD300"/>
    <mergeCell ref="H301:BD301"/>
    <mergeCell ref="H293:BD293"/>
    <mergeCell ref="H294:BD294"/>
    <mergeCell ref="H295:BD295"/>
    <mergeCell ref="H296:BD296"/>
    <mergeCell ref="H297:BD297"/>
    <mergeCell ref="N285:BD285"/>
    <mergeCell ref="N286:BD286"/>
    <mergeCell ref="E288:BD288"/>
    <mergeCell ref="H290:BD290"/>
    <mergeCell ref="H291:BD291"/>
    <mergeCell ref="H292:BD292"/>
    <mergeCell ref="E285:M285"/>
    <mergeCell ref="E286:M286"/>
    <mergeCell ref="H302:BD302"/>
    <mergeCell ref="E282:M282"/>
    <mergeCell ref="E283:M283"/>
    <mergeCell ref="E284:M284"/>
    <mergeCell ref="J249:Y249"/>
    <mergeCell ref="Z249:AZ249"/>
    <mergeCell ref="E280:BD280"/>
    <mergeCell ref="T256:AD256"/>
    <mergeCell ref="J261:S264"/>
    <mergeCell ref="T264:AD264"/>
    <mergeCell ref="T262:AD262"/>
    <mergeCell ref="T263:AD263"/>
    <mergeCell ref="T265:AD265"/>
    <mergeCell ref="T266:AD266"/>
    <mergeCell ref="T253:AD253"/>
    <mergeCell ref="T254:AD254"/>
    <mergeCell ref="T255:AD255"/>
    <mergeCell ref="N282:BD282"/>
    <mergeCell ref="N283:BD283"/>
    <mergeCell ref="N284:BD284"/>
    <mergeCell ref="AP267:AZ267"/>
    <mergeCell ref="AE257:AO257"/>
    <mergeCell ref="AE258:AO258"/>
    <mergeCell ref="AE259:AO259"/>
    <mergeCell ref="AP252:AZ252"/>
    <mergeCell ref="T268:AD268"/>
    <mergeCell ref="J265:S268"/>
    <mergeCell ref="AE268:AO268"/>
    <mergeCell ref="AP268:AZ268"/>
    <mergeCell ref="AE256:AO256"/>
    <mergeCell ref="AP256:AZ256"/>
    <mergeCell ref="J257:S260"/>
    <mergeCell ref="T260:AD260"/>
    <mergeCell ref="AE260:AO260"/>
    <mergeCell ref="AP260:AZ260"/>
    <mergeCell ref="T267:AD267"/>
    <mergeCell ref="J253:S256"/>
    <mergeCell ref="T259:AD259"/>
    <mergeCell ref="AE267:AO267"/>
    <mergeCell ref="AP257:AZ257"/>
    <mergeCell ref="AP258:AZ258"/>
    <mergeCell ref="AP259:AZ259"/>
    <mergeCell ref="AP261:AZ261"/>
    <mergeCell ref="AP262:AZ262"/>
    <mergeCell ref="AP263:AZ263"/>
    <mergeCell ref="AP265:AZ265"/>
    <mergeCell ref="AP266:AZ266"/>
    <mergeCell ref="B163:C163"/>
    <mergeCell ref="B228:C228"/>
    <mergeCell ref="F91:G91"/>
    <mergeCell ref="B92:C92"/>
    <mergeCell ref="B112:C112"/>
    <mergeCell ref="B113:C113"/>
    <mergeCell ref="B117:C117"/>
    <mergeCell ref="B142:C142"/>
    <mergeCell ref="W4:AF4"/>
    <mergeCell ref="AE252:AO252"/>
    <mergeCell ref="T252:AD252"/>
    <mergeCell ref="J252:S252"/>
    <mergeCell ref="T261:AD261"/>
    <mergeCell ref="AE266:AO266"/>
    <mergeCell ref="AE253:AO253"/>
    <mergeCell ref="AP253:AZ253"/>
    <mergeCell ref="AE254:AO254"/>
    <mergeCell ref="AE255:AO255"/>
    <mergeCell ref="AP254:AZ254"/>
    <mergeCell ref="AP255:AZ255"/>
    <mergeCell ref="AE261:AO261"/>
    <mergeCell ref="AE262:AO262"/>
    <mergeCell ref="AE264:AO264"/>
    <mergeCell ref="AE263:AO263"/>
    <mergeCell ref="AE265:AO265"/>
    <mergeCell ref="T257:AD257"/>
    <mergeCell ref="T258:AD258"/>
    <mergeCell ref="AP264:AZ264"/>
    <mergeCell ref="E314:H314"/>
    <mergeCell ref="I314:BD314"/>
    <mergeCell ref="E316:H316"/>
    <mergeCell ref="I316:BD316"/>
    <mergeCell ref="E318:H318"/>
    <mergeCell ref="I318:BD318"/>
    <mergeCell ref="E308:H308"/>
    <mergeCell ref="I308:BD308"/>
    <mergeCell ref="E309:H309"/>
    <mergeCell ref="I309:BD309"/>
    <mergeCell ref="E312:BD312"/>
    <mergeCell ref="E324:H324"/>
    <mergeCell ref="I324:BD324"/>
    <mergeCell ref="E326:H326"/>
    <mergeCell ref="I326:BD326"/>
    <mergeCell ref="E319:H319"/>
    <mergeCell ref="I319:BD319"/>
    <mergeCell ref="E320:H320"/>
    <mergeCell ref="I320:BD320"/>
    <mergeCell ref="E321:H321"/>
    <mergeCell ref="I321:BD321"/>
    <mergeCell ref="E322:H322"/>
    <mergeCell ref="I322:BD322"/>
    <mergeCell ref="E333:H333"/>
    <mergeCell ref="I333:BD333"/>
    <mergeCell ref="E332:BD332"/>
    <mergeCell ref="E330:BD330"/>
    <mergeCell ref="E331:BD331"/>
    <mergeCell ref="E327:H327"/>
    <mergeCell ref="I327:BD327"/>
    <mergeCell ref="E328:H328"/>
    <mergeCell ref="I328:BD328"/>
    <mergeCell ref="E340:H340"/>
    <mergeCell ref="I340:BD340"/>
    <mergeCell ref="E341:H341"/>
    <mergeCell ref="I341:BD341"/>
    <mergeCell ref="E339:BD339"/>
    <mergeCell ref="E334:H334"/>
    <mergeCell ref="I334:BD334"/>
    <mergeCell ref="E336:H336"/>
    <mergeCell ref="I336:BD336"/>
    <mergeCell ref="E337:H337"/>
    <mergeCell ref="I337:BD337"/>
    <mergeCell ref="E335:BD335"/>
    <mergeCell ref="E365:H365"/>
    <mergeCell ref="I365:BD365"/>
    <mergeCell ref="E368:BD368"/>
    <mergeCell ref="E370:H370"/>
    <mergeCell ref="I370:BD370"/>
    <mergeCell ref="E372:H372"/>
    <mergeCell ref="I372:BD372"/>
    <mergeCell ref="E342:H342"/>
    <mergeCell ref="I342:BD342"/>
    <mergeCell ref="E343:H343"/>
    <mergeCell ref="I343:BD343"/>
    <mergeCell ref="E345:H345"/>
    <mergeCell ref="I345:BD345"/>
    <mergeCell ref="E347:H347"/>
    <mergeCell ref="I347:BD347"/>
    <mergeCell ref="E352:H352"/>
    <mergeCell ref="I352:BD352"/>
    <mergeCell ref="E353:H353"/>
    <mergeCell ref="I353:BD353"/>
    <mergeCell ref="E351:BD351"/>
    <mergeCell ref="E360:H360"/>
    <mergeCell ref="I360:BD360"/>
    <mergeCell ref="E362:H362"/>
    <mergeCell ref="I362:BD362"/>
    <mergeCell ref="E373:H373"/>
    <mergeCell ref="I373:BD373"/>
    <mergeCell ref="E374:H374"/>
    <mergeCell ref="I374:BD374"/>
    <mergeCell ref="E375:H375"/>
    <mergeCell ref="I375:BD375"/>
    <mergeCell ref="E377:H377"/>
    <mergeCell ref="I377:BD377"/>
    <mergeCell ref="E378:H378"/>
    <mergeCell ref="I378:BD378"/>
    <mergeCell ref="E384:H384"/>
    <mergeCell ref="I384:BD384"/>
    <mergeCell ref="E385:H385"/>
    <mergeCell ref="I385:BD385"/>
    <mergeCell ref="E392:H392"/>
    <mergeCell ref="I392:BD392"/>
    <mergeCell ref="E394:H394"/>
    <mergeCell ref="I394:BD394"/>
    <mergeCell ref="E380:BD380"/>
    <mergeCell ref="E381:BD381"/>
    <mergeCell ref="E382:BD382"/>
    <mergeCell ref="E386:BD386"/>
    <mergeCell ref="E383:H383"/>
    <mergeCell ref="I383:BD383"/>
    <mergeCell ref="E387:H387"/>
    <mergeCell ref="I387:BD387"/>
    <mergeCell ref="E395:H395"/>
    <mergeCell ref="I395:BD395"/>
    <mergeCell ref="E396:H396"/>
    <mergeCell ref="I396:BD396"/>
    <mergeCell ref="E400:H400"/>
    <mergeCell ref="I400:BD400"/>
    <mergeCell ref="E401:H401"/>
    <mergeCell ref="I401:BD401"/>
    <mergeCell ref="E388:H388"/>
    <mergeCell ref="I388:BD388"/>
    <mergeCell ref="E421:BD421"/>
    <mergeCell ref="E402:H402"/>
    <mergeCell ref="I402:BD402"/>
    <mergeCell ref="E399:BD399"/>
    <mergeCell ref="E405:H405"/>
    <mergeCell ref="I405:BD405"/>
    <mergeCell ref="E406:H406"/>
    <mergeCell ref="I406:BD406"/>
    <mergeCell ref="E404:BD404"/>
    <mergeCell ref="E411:BD411"/>
    <mergeCell ref="I3:AY3"/>
    <mergeCell ref="E431:BD431"/>
    <mergeCell ref="E432:H432"/>
    <mergeCell ref="I432:BD432"/>
    <mergeCell ref="E433:H433"/>
    <mergeCell ref="I433:BD433"/>
    <mergeCell ref="E434:H434"/>
    <mergeCell ref="I434:BD434"/>
    <mergeCell ref="E425:H425"/>
    <mergeCell ref="I425:BD425"/>
    <mergeCell ref="E424:H424"/>
    <mergeCell ref="I424:BD424"/>
    <mergeCell ref="E423:BD423"/>
    <mergeCell ref="E428:H428"/>
    <mergeCell ref="I428:BD428"/>
    <mergeCell ref="E429:H429"/>
    <mergeCell ref="I429:BD429"/>
    <mergeCell ref="E427:BD427"/>
    <mergeCell ref="E414:H414"/>
    <mergeCell ref="I414:BD414"/>
    <mergeCell ref="E416:H416"/>
    <mergeCell ref="I416:BD416"/>
    <mergeCell ref="E417:H417"/>
    <mergeCell ref="I417:BD417"/>
  </mergeCells>
  <hyperlinks>
    <hyperlink ref="AP253:AZ253" location="'D. Prestador'!A1" display="Diligenciar" xr:uid="{00000000-0004-0000-0100-000000000000}"/>
    <hyperlink ref="AP254:AZ254" location="'D. Prestador'!A151" display="Diligenciar" xr:uid="{00000000-0004-0000-0100-000001000000}"/>
    <hyperlink ref="AP255:AZ255" location="'D. Prestador'!A261" display="Diligenciar" xr:uid="{00000000-0004-0000-0100-000002000000}"/>
    <hyperlink ref="AP256:AZ256" location="'D. Prestador'!A287" display="Diligenciar" xr:uid="{00000000-0004-0000-0100-000003000000}"/>
    <hyperlink ref="AE257:AO257" location="'D. Recicladores'!A1" display="Diligenciar" xr:uid="{00000000-0004-0000-0100-000004000000}"/>
    <hyperlink ref="AP258:AZ258" location="'D. Prestador'!A133" display="Diligenciar" xr:uid="{00000000-0004-0000-0100-000005000000}"/>
    <hyperlink ref="AE259:AO259" location="'D. Recicladores'!A260" display="Diligenciar" xr:uid="{00000000-0004-0000-0100-000006000000}"/>
    <hyperlink ref="AP259:AZ259" location="'D. Prestador'!A260" display="Diligenciar" xr:uid="{00000000-0004-0000-0100-000007000000}"/>
    <hyperlink ref="AP260:AZ260" location="'D. Prestador'!A287" display="Diligenciar" xr:uid="{00000000-0004-0000-0100-000008000000}"/>
    <hyperlink ref="AP261:AZ261" location="'D. Prestador'!A8" display="Diligenciar" xr:uid="{00000000-0004-0000-0100-000009000000}"/>
    <hyperlink ref="AE262:AO262" location="'D. Recicladores'!A149" display="Diligenciar" xr:uid="{00000000-0004-0000-0100-00000A000000}"/>
    <hyperlink ref="AE263:AO263" location="'D. Recicladores'!A260" display="Diligenciar" xr:uid="{00000000-0004-0000-0100-00000B000000}"/>
    <hyperlink ref="AE264:AO264" location="'D. Recicladores'!A265" display="Diligenciar" xr:uid="{00000000-0004-0000-0100-00000C000000}"/>
    <hyperlink ref="AP263:AZ263" location="'D. Prestador'!A260" display="Diligenciar" xr:uid="{00000000-0004-0000-0100-00000D000000}"/>
    <hyperlink ref="AE265:AO265" location="'D. Recicladores'!A1" display="Diligenciar" xr:uid="{00000000-0004-0000-0100-00000E000000}"/>
    <hyperlink ref="AE266:AO266" location="'D. Recicladores'!A149" display="Diligenciar" xr:uid="{00000000-0004-0000-0100-00000F000000}"/>
    <hyperlink ref="AE267:AO267" location="'D. Recicladores'!A260" display="Diligenciar" xr:uid="{00000000-0004-0000-0100-000010000000}"/>
    <hyperlink ref="AE268:AO268" location="'D. Recicladores'!A265" display="Diligenciar" xr:uid="{00000000-0004-0000-0100-000011000000}"/>
    <hyperlink ref="Z249:AZ249" location="D.Generales!A1" display="Diligenciar siempre" xr:uid="{00000000-0004-0000-0100-000012000000}"/>
  </hyperlinks>
  <printOptions horizontalCentered="1" verticalCentered="1"/>
  <pageMargins left="0.23622047244094491" right="0.23622047244094491" top="0.74803149606299213" bottom="0.74803149606299213" header="0.31496062992125984" footer="0.31496062992125984"/>
  <pageSetup scale="44" fitToHeight="10" orientation="portrait" r:id="rId1"/>
  <headerFooter>
    <oddHeader>&amp;CNota Técnica IDB-TN-01433 
Modelo para la estimación de costos de la gestión de residuos reciclables con inclusión de recicladores</oddHeader>
  </headerFooter>
  <rowBreaks count="9" manualBreakCount="9">
    <brk id="69" max="59" man="1"/>
    <brk id="129" max="59" man="1"/>
    <brk id="177" max="59" man="1"/>
    <brk id="240" max="59" man="1"/>
    <brk id="274" max="59" man="1"/>
    <brk id="310" max="59" man="1"/>
    <brk id="348" max="59" man="1"/>
    <brk id="378" max="59" man="1"/>
    <brk id="408" max="5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9"/>
  <dimension ref="C3:AY863"/>
  <sheetViews>
    <sheetView showGridLines="0" view="pageBreakPreview" zoomScale="70" zoomScaleNormal="70" zoomScaleSheetLayoutView="70" workbookViewId="0"/>
  </sheetViews>
  <sheetFormatPr baseColWidth="10" defaultColWidth="5.28515625" defaultRowHeight="18.75" x14ac:dyDescent="0.3"/>
  <cols>
    <col min="1" max="1" width="5.28515625" style="625"/>
    <col min="2" max="2" width="3.140625" style="625" customWidth="1"/>
    <col min="3" max="4" width="3.7109375" style="625" customWidth="1"/>
    <col min="5" max="5" width="5.28515625" style="625"/>
    <col min="6" max="6" width="6.28515625" style="625" bestFit="1" customWidth="1"/>
    <col min="7" max="9" width="5.28515625" style="625"/>
    <col min="10" max="10" width="8.28515625" style="625" bestFit="1" customWidth="1"/>
    <col min="11" max="11" width="9" style="625" bestFit="1" customWidth="1"/>
    <col min="12" max="12" width="5.28515625" style="625"/>
    <col min="13" max="13" width="7.85546875" style="625" customWidth="1"/>
    <col min="14" max="14" width="8.42578125" style="625" customWidth="1"/>
    <col min="15" max="15" width="5.28515625" style="625"/>
    <col min="16" max="16" width="6.28515625" style="625" bestFit="1" customWidth="1"/>
    <col min="17" max="17" width="14.28515625" style="625" bestFit="1" customWidth="1"/>
    <col min="18" max="18" width="7.28515625" style="625" customWidth="1"/>
    <col min="19" max="19" width="7.140625" style="625" customWidth="1"/>
    <col min="20" max="20" width="6.28515625" style="625" customWidth="1"/>
    <col min="21" max="21" width="7.5703125" style="625" customWidth="1"/>
    <col min="22" max="22" width="6.85546875" style="625" customWidth="1"/>
    <col min="23" max="23" width="7.28515625" style="625" bestFit="1" customWidth="1"/>
    <col min="24" max="24" width="7.7109375" style="625" bestFit="1" customWidth="1"/>
    <col min="25" max="25" width="6.7109375" style="625" bestFit="1" customWidth="1"/>
    <col min="26" max="26" width="23.28515625" style="625" bestFit="1" customWidth="1"/>
    <col min="27" max="27" width="7.42578125" style="625" bestFit="1" customWidth="1"/>
    <col min="28" max="28" width="22.7109375" style="625" customWidth="1"/>
    <col min="29" max="33" width="5.28515625" style="625"/>
    <col min="34" max="35" width="3.85546875" style="625" customWidth="1"/>
    <col min="36" max="36" width="5.28515625" style="625"/>
    <col min="37" max="37" width="4.140625" style="625" customWidth="1"/>
    <col min="38" max="16384" width="5.28515625" style="625"/>
  </cols>
  <sheetData>
    <row r="3" spans="3:51" ht="45.6" customHeight="1" x14ac:dyDescent="0.3">
      <c r="H3" s="641"/>
      <c r="I3" s="696" t="s">
        <v>427</v>
      </c>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row>
    <row r="4" spans="3:51" x14ac:dyDescent="0.3">
      <c r="H4" s="627"/>
      <c r="I4" s="627"/>
      <c r="J4" s="627"/>
      <c r="K4" s="627"/>
      <c r="L4" s="627"/>
      <c r="M4" s="627"/>
      <c r="N4" s="627"/>
      <c r="O4" s="627"/>
      <c r="P4" s="627"/>
      <c r="Q4" s="627"/>
      <c r="R4" s="627"/>
      <c r="S4" s="627"/>
      <c r="T4" s="627"/>
      <c r="U4" s="627"/>
      <c r="V4" s="833"/>
      <c r="W4" s="833"/>
      <c r="X4" s="833"/>
      <c r="Y4" s="833"/>
      <c r="Z4" s="833"/>
      <c r="AA4" s="833"/>
      <c r="AB4" s="833"/>
      <c r="AC4" s="833"/>
      <c r="AD4" s="833"/>
      <c r="AE4" s="833"/>
      <c r="AF4" s="627"/>
      <c r="AG4" s="627"/>
      <c r="AH4" s="627"/>
      <c r="AI4" s="627"/>
      <c r="AJ4" s="627"/>
      <c r="AK4" s="627"/>
      <c r="AL4" s="627"/>
      <c r="AM4" s="627"/>
      <c r="AN4" s="627"/>
      <c r="AO4" s="627"/>
    </row>
    <row r="5" spans="3:51" ht="21" x14ac:dyDescent="0.3">
      <c r="H5" s="835"/>
      <c r="I5" s="835"/>
      <c r="J5" s="835"/>
      <c r="K5" s="835"/>
      <c r="L5" s="835"/>
      <c r="M5" s="835"/>
      <c r="N5" s="835"/>
      <c r="O5" s="835"/>
      <c r="P5" s="835"/>
      <c r="Q5" s="835"/>
      <c r="R5" s="835"/>
      <c r="S5" s="835"/>
      <c r="T5" s="835"/>
      <c r="U5" s="835"/>
      <c r="V5" s="835"/>
      <c r="W5" s="835"/>
      <c r="X5" s="835"/>
      <c r="Y5" s="835"/>
      <c r="Z5" s="835"/>
      <c r="AA5" s="835"/>
      <c r="AB5" s="835"/>
      <c r="AC5" s="835"/>
      <c r="AD5" s="835"/>
      <c r="AE5" s="835"/>
      <c r="AF5" s="835"/>
      <c r="AG5" s="835"/>
      <c r="AH5" s="835"/>
      <c r="AI5" s="628"/>
      <c r="AJ5" s="628"/>
      <c r="AK5" s="628"/>
      <c r="AL5" s="628"/>
      <c r="AM5" s="628"/>
      <c r="AN5" s="628"/>
      <c r="AO5" s="628"/>
      <c r="AP5" s="628"/>
      <c r="AQ5" s="628"/>
      <c r="AR5" s="628"/>
      <c r="AS5" s="628"/>
      <c r="AT5" s="628"/>
      <c r="AU5" s="628"/>
      <c r="AV5" s="628"/>
      <c r="AW5" s="628"/>
      <c r="AY5" s="627"/>
    </row>
    <row r="7" spans="3:51" ht="36.6" customHeight="1" x14ac:dyDescent="0.3">
      <c r="C7" s="772" t="s">
        <v>905</v>
      </c>
      <c r="D7" s="772"/>
      <c r="E7" s="772"/>
      <c r="F7" s="772"/>
      <c r="G7" s="772"/>
      <c r="H7" s="772"/>
      <c r="I7" s="772"/>
      <c r="J7" s="772"/>
      <c r="K7" s="772"/>
      <c r="L7" s="772"/>
      <c r="M7" s="772"/>
      <c r="N7" s="772"/>
      <c r="O7" s="772"/>
      <c r="P7" s="772"/>
      <c r="Q7" s="772"/>
      <c r="R7" s="772"/>
      <c r="S7" s="772"/>
      <c r="T7" s="772"/>
      <c r="U7" s="772"/>
      <c r="V7" s="772"/>
      <c r="W7" s="772"/>
      <c r="X7" s="772"/>
      <c r="Y7" s="772"/>
      <c r="Z7" s="772"/>
      <c r="AA7" s="772"/>
      <c r="AB7" s="772"/>
      <c r="AC7" s="772"/>
      <c r="AD7" s="772"/>
      <c r="AE7" s="772"/>
      <c r="AF7" s="772"/>
      <c r="AG7" s="772"/>
      <c r="AH7" s="772"/>
      <c r="AI7" s="772"/>
      <c r="AJ7" s="772"/>
      <c r="AK7" s="772"/>
      <c r="AL7" s="772"/>
    </row>
    <row r="8" spans="3:51" ht="36.6" customHeight="1" x14ac:dyDescent="0.3">
      <c r="C8" s="655"/>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655"/>
      <c r="AK8" s="655"/>
      <c r="AL8" s="655"/>
    </row>
    <row r="10" spans="3:51" ht="23.25" x14ac:dyDescent="0.35">
      <c r="C10" s="626"/>
      <c r="D10" s="633"/>
    </row>
    <row r="11" spans="3:51" x14ac:dyDescent="0.3">
      <c r="C11" s="626"/>
    </row>
    <row r="12" spans="3:51" x14ac:dyDescent="0.3">
      <c r="C12" s="626"/>
    </row>
    <row r="13" spans="3:51" ht="70.150000000000006" customHeight="1" x14ac:dyDescent="0.3">
      <c r="C13" s="772" t="s">
        <v>906</v>
      </c>
      <c r="D13" s="772"/>
      <c r="E13" s="772"/>
      <c r="F13" s="772"/>
      <c r="G13" s="772"/>
      <c r="H13" s="772"/>
      <c r="I13" s="772"/>
      <c r="J13" s="772"/>
      <c r="K13" s="772"/>
      <c r="L13" s="772"/>
      <c r="M13" s="772"/>
      <c r="N13" s="772"/>
      <c r="O13" s="772"/>
      <c r="P13" s="772"/>
      <c r="Q13" s="772"/>
      <c r="R13" s="772"/>
      <c r="S13" s="772"/>
      <c r="T13" s="772"/>
      <c r="U13" s="772"/>
      <c r="V13" s="772"/>
      <c r="W13" s="772"/>
      <c r="X13" s="772"/>
      <c r="Y13" s="772"/>
      <c r="Z13" s="772"/>
      <c r="AA13" s="772"/>
      <c r="AB13" s="772"/>
      <c r="AC13" s="772"/>
      <c r="AD13" s="772"/>
      <c r="AE13" s="772"/>
      <c r="AF13" s="772"/>
      <c r="AG13" s="772"/>
      <c r="AH13" s="772"/>
      <c r="AI13" s="772"/>
      <c r="AJ13" s="772"/>
      <c r="AK13" s="659"/>
      <c r="AL13" s="659"/>
      <c r="AM13" s="659"/>
    </row>
    <row r="16" spans="3:51" x14ac:dyDescent="0.3">
      <c r="C16" s="84"/>
    </row>
    <row r="26" ht="19.149999999999999" customHeight="1" x14ac:dyDescent="0.3"/>
    <row r="40" spans="3:40" ht="68.45" customHeight="1" x14ac:dyDescent="0.3">
      <c r="C40" s="772" t="s">
        <v>901</v>
      </c>
      <c r="D40" s="772"/>
      <c r="E40" s="772"/>
      <c r="F40" s="772"/>
      <c r="G40" s="772"/>
      <c r="H40" s="772"/>
      <c r="I40" s="772"/>
      <c r="J40" s="772"/>
      <c r="K40" s="772"/>
      <c r="L40" s="772"/>
      <c r="M40" s="772"/>
      <c r="N40" s="772"/>
      <c r="O40" s="772"/>
      <c r="P40" s="772"/>
      <c r="Q40" s="772"/>
      <c r="R40" s="772"/>
      <c r="S40" s="772"/>
      <c r="T40" s="772"/>
      <c r="U40" s="772"/>
      <c r="V40" s="772"/>
      <c r="W40" s="772"/>
      <c r="X40" s="772"/>
      <c r="Y40" s="772"/>
      <c r="Z40" s="772"/>
      <c r="AA40" s="772"/>
      <c r="AB40" s="772"/>
      <c r="AC40" s="772"/>
      <c r="AD40" s="772"/>
      <c r="AE40" s="772"/>
      <c r="AF40" s="772"/>
      <c r="AG40" s="772"/>
      <c r="AH40" s="772"/>
      <c r="AI40" s="772"/>
      <c r="AJ40" s="772"/>
      <c r="AK40" s="659"/>
      <c r="AL40" s="659"/>
      <c r="AM40" s="659"/>
      <c r="AN40" s="659"/>
    </row>
    <row r="44" spans="3:40" ht="26.25" x14ac:dyDescent="0.4">
      <c r="D44" s="646"/>
    </row>
    <row r="45" spans="3:40" ht="21" x14ac:dyDescent="0.35">
      <c r="D45" s="644"/>
    </row>
    <row r="46" spans="3:40" ht="21" x14ac:dyDescent="0.35">
      <c r="D46" s="644"/>
    </row>
    <row r="47" spans="3:40" ht="87.6" customHeight="1" x14ac:dyDescent="0.3">
      <c r="C47" s="772" t="s">
        <v>919</v>
      </c>
      <c r="D47" s="772"/>
      <c r="E47" s="772"/>
      <c r="F47" s="772"/>
      <c r="G47" s="772"/>
      <c r="H47" s="772"/>
      <c r="I47" s="772"/>
      <c r="J47" s="772"/>
      <c r="K47" s="772"/>
      <c r="L47" s="772"/>
      <c r="M47" s="772"/>
      <c r="N47" s="772"/>
      <c r="O47" s="772"/>
      <c r="P47" s="772"/>
      <c r="Q47" s="772"/>
      <c r="R47" s="772"/>
      <c r="S47" s="772"/>
      <c r="T47" s="772"/>
      <c r="U47" s="772"/>
      <c r="V47" s="772"/>
      <c r="W47" s="772"/>
      <c r="X47" s="772"/>
      <c r="Y47" s="772"/>
      <c r="Z47" s="772"/>
      <c r="AA47" s="772"/>
      <c r="AB47" s="772"/>
      <c r="AC47" s="772"/>
      <c r="AD47" s="772"/>
      <c r="AE47" s="772"/>
      <c r="AF47" s="772"/>
      <c r="AG47" s="772"/>
      <c r="AH47" s="772"/>
      <c r="AI47" s="772"/>
      <c r="AJ47" s="772"/>
      <c r="AK47" s="659"/>
    </row>
    <row r="55" spans="3:37" ht="51.6" customHeight="1" x14ac:dyDescent="0.3">
      <c r="C55" s="772" t="s">
        <v>887</v>
      </c>
      <c r="D55" s="772"/>
      <c r="E55" s="772"/>
      <c r="F55" s="772"/>
      <c r="G55" s="772"/>
      <c r="H55" s="772"/>
      <c r="I55" s="772"/>
      <c r="J55" s="772"/>
      <c r="K55" s="772"/>
      <c r="L55" s="772"/>
      <c r="M55" s="772"/>
      <c r="N55" s="772"/>
      <c r="O55" s="772"/>
      <c r="P55" s="772"/>
      <c r="Q55" s="772"/>
      <c r="R55" s="772"/>
      <c r="S55" s="772"/>
      <c r="T55" s="772"/>
      <c r="U55" s="772"/>
      <c r="V55" s="772"/>
      <c r="W55" s="772"/>
      <c r="X55" s="772"/>
      <c r="Y55" s="772"/>
      <c r="Z55" s="772"/>
      <c r="AA55" s="772"/>
      <c r="AB55" s="772"/>
      <c r="AC55" s="772"/>
      <c r="AD55" s="772"/>
      <c r="AE55" s="772"/>
      <c r="AF55" s="772"/>
      <c r="AG55" s="772"/>
      <c r="AH55" s="772"/>
      <c r="AI55" s="772"/>
      <c r="AJ55" s="772"/>
      <c r="AK55" s="659"/>
    </row>
    <row r="56" spans="3:37" ht="43.5" customHeight="1" x14ac:dyDescent="0.3">
      <c r="D56" s="645"/>
      <c r="E56" s="645"/>
      <c r="F56" s="645"/>
      <c r="G56" s="645"/>
      <c r="H56" s="645"/>
      <c r="I56" s="645"/>
      <c r="J56" s="645"/>
      <c r="K56" s="645"/>
      <c r="L56" s="645"/>
      <c r="M56" s="645"/>
      <c r="N56" s="645"/>
      <c r="O56" s="645"/>
      <c r="P56" s="645"/>
      <c r="Q56" s="645"/>
      <c r="R56" s="645"/>
      <c r="S56" s="645"/>
      <c r="T56" s="645"/>
      <c r="U56" s="645"/>
      <c r="V56" s="645"/>
      <c r="W56" s="645"/>
      <c r="X56" s="645"/>
      <c r="Y56" s="645"/>
      <c r="Z56" s="645"/>
      <c r="AA56" s="645"/>
      <c r="AB56" s="645"/>
      <c r="AC56" s="645"/>
      <c r="AD56" s="645"/>
      <c r="AE56" s="645"/>
      <c r="AF56" s="645"/>
      <c r="AG56" s="645"/>
      <c r="AH56" s="645"/>
      <c r="AI56" s="645"/>
      <c r="AJ56" s="645"/>
      <c r="AK56" s="645"/>
    </row>
    <row r="57" spans="3:37" ht="43.5" customHeight="1" x14ac:dyDescent="0.3">
      <c r="D57" s="645"/>
      <c r="E57" s="645"/>
      <c r="F57" s="645"/>
      <c r="G57" s="645"/>
      <c r="H57" s="645"/>
      <c r="I57" s="645"/>
      <c r="J57" s="645"/>
      <c r="K57" s="645"/>
      <c r="L57" s="645"/>
      <c r="M57" s="645"/>
      <c r="N57" s="645"/>
      <c r="O57" s="645"/>
      <c r="P57" s="645"/>
      <c r="Q57" s="645"/>
      <c r="R57" s="645"/>
      <c r="S57" s="645"/>
      <c r="T57" s="645"/>
      <c r="U57" s="645"/>
      <c r="V57" s="645"/>
      <c r="W57" s="645"/>
      <c r="X57" s="645"/>
      <c r="Y57" s="645"/>
      <c r="Z57" s="645"/>
      <c r="AA57" s="645"/>
      <c r="AB57" s="645"/>
      <c r="AC57" s="645"/>
      <c r="AD57" s="645"/>
      <c r="AE57" s="645"/>
      <c r="AF57" s="645"/>
      <c r="AG57" s="645"/>
      <c r="AH57" s="645"/>
      <c r="AI57" s="645"/>
      <c r="AJ57" s="645"/>
      <c r="AK57" s="645"/>
    </row>
    <row r="58" spans="3:37" ht="43.5" customHeight="1" x14ac:dyDescent="0.3">
      <c r="D58" s="645"/>
      <c r="E58" s="645"/>
      <c r="F58" s="645"/>
      <c r="G58" s="645"/>
      <c r="H58" s="645"/>
      <c r="I58" s="645"/>
      <c r="J58" s="645"/>
      <c r="K58" s="645"/>
      <c r="L58" s="645"/>
      <c r="M58" s="645"/>
      <c r="N58" s="645"/>
      <c r="O58" s="645"/>
      <c r="P58" s="645"/>
      <c r="Q58" s="645"/>
      <c r="R58" s="645"/>
      <c r="S58" s="645"/>
      <c r="T58" s="645"/>
      <c r="U58" s="645"/>
      <c r="V58" s="645"/>
      <c r="W58" s="645"/>
      <c r="X58" s="645"/>
      <c r="Y58" s="645"/>
      <c r="Z58" s="645"/>
      <c r="AA58" s="645"/>
      <c r="AB58" s="645"/>
      <c r="AC58" s="645"/>
      <c r="AD58" s="645"/>
      <c r="AE58" s="645"/>
      <c r="AF58" s="645"/>
      <c r="AG58" s="645"/>
      <c r="AH58" s="645"/>
      <c r="AI58" s="645"/>
      <c r="AJ58" s="645"/>
      <c r="AK58" s="645"/>
    </row>
    <row r="59" spans="3:37" ht="43.5" customHeight="1" x14ac:dyDescent="0.3">
      <c r="D59" s="645"/>
      <c r="E59" s="645"/>
      <c r="F59" s="645"/>
      <c r="G59" s="645"/>
      <c r="H59" s="645"/>
      <c r="I59" s="645"/>
      <c r="J59" s="645"/>
      <c r="K59" s="645"/>
      <c r="L59" s="645"/>
      <c r="M59" s="645"/>
      <c r="N59" s="645"/>
      <c r="O59" s="645"/>
      <c r="P59" s="645"/>
      <c r="Q59" s="645"/>
      <c r="R59" s="645"/>
      <c r="S59" s="645"/>
      <c r="T59" s="645"/>
      <c r="U59" s="645"/>
      <c r="V59" s="645"/>
      <c r="W59" s="645"/>
      <c r="X59" s="645"/>
      <c r="Y59" s="645"/>
      <c r="Z59" s="645"/>
      <c r="AA59" s="645"/>
      <c r="AB59" s="645"/>
      <c r="AC59" s="645"/>
      <c r="AD59" s="645"/>
      <c r="AE59" s="645"/>
      <c r="AF59" s="645"/>
      <c r="AG59" s="645"/>
      <c r="AH59" s="645"/>
      <c r="AI59" s="645"/>
      <c r="AJ59" s="645"/>
      <c r="AK59" s="645"/>
    </row>
    <row r="60" spans="3:37" ht="43.5" customHeight="1" x14ac:dyDescent="0.3">
      <c r="D60" s="645"/>
      <c r="E60" s="645"/>
      <c r="F60" s="645"/>
      <c r="G60" s="645"/>
      <c r="H60" s="645"/>
      <c r="I60" s="645"/>
      <c r="J60" s="645"/>
      <c r="K60" s="645"/>
      <c r="L60" s="645"/>
      <c r="M60" s="645"/>
      <c r="N60" s="645"/>
      <c r="O60" s="645"/>
      <c r="P60" s="645"/>
      <c r="Q60" s="645"/>
      <c r="R60" s="645"/>
      <c r="S60" s="645"/>
      <c r="T60" s="645"/>
      <c r="U60" s="645"/>
      <c r="V60" s="645"/>
      <c r="W60" s="645"/>
      <c r="X60" s="645"/>
      <c r="Y60" s="645"/>
      <c r="Z60" s="645"/>
      <c r="AA60" s="645"/>
      <c r="AB60" s="645"/>
      <c r="AC60" s="645"/>
      <c r="AD60" s="645"/>
      <c r="AE60" s="645"/>
      <c r="AF60" s="645"/>
      <c r="AG60" s="645"/>
      <c r="AH60" s="645"/>
      <c r="AI60" s="645"/>
      <c r="AJ60" s="645"/>
      <c r="AK60" s="645"/>
    </row>
    <row r="61" spans="3:37" ht="21" customHeight="1" x14ac:dyDescent="0.35">
      <c r="C61" s="772" t="s">
        <v>900</v>
      </c>
      <c r="D61" s="772"/>
      <c r="E61" s="772"/>
      <c r="F61" s="772"/>
      <c r="G61" s="772"/>
      <c r="H61" s="772"/>
      <c r="I61" s="772"/>
      <c r="J61" s="772"/>
      <c r="K61" s="772"/>
      <c r="L61" s="772"/>
      <c r="M61" s="772"/>
      <c r="N61" s="772"/>
      <c r="O61" s="772"/>
      <c r="P61" s="772"/>
      <c r="Q61" s="772"/>
      <c r="R61" s="772"/>
      <c r="S61" s="772"/>
      <c r="T61" s="772"/>
      <c r="U61" s="772"/>
      <c r="V61" s="772"/>
      <c r="W61" s="772"/>
      <c r="X61" s="772"/>
      <c r="Y61" s="772"/>
      <c r="Z61" s="772"/>
      <c r="AA61" s="772"/>
      <c r="AB61" s="772"/>
      <c r="AC61" s="772"/>
      <c r="AD61" s="772"/>
      <c r="AE61" s="772"/>
      <c r="AF61" s="772"/>
      <c r="AG61" s="772"/>
      <c r="AH61" s="772"/>
      <c r="AI61" s="772"/>
      <c r="AJ61" s="772"/>
      <c r="AK61" s="650"/>
    </row>
    <row r="62" spans="3:37" x14ac:dyDescent="0.3">
      <c r="D62" s="645"/>
      <c r="E62" s="645"/>
      <c r="F62" s="645"/>
      <c r="G62" s="645"/>
      <c r="H62" s="645"/>
      <c r="I62" s="645"/>
      <c r="J62" s="645"/>
      <c r="K62" s="645"/>
      <c r="L62" s="645"/>
      <c r="M62" s="645"/>
      <c r="N62" s="645"/>
      <c r="O62" s="645"/>
      <c r="P62" s="645"/>
      <c r="Q62" s="645"/>
      <c r="R62" s="645"/>
      <c r="S62" s="645"/>
      <c r="T62" s="645"/>
      <c r="U62" s="645"/>
      <c r="V62" s="645"/>
      <c r="W62" s="645"/>
      <c r="X62" s="645"/>
      <c r="Y62" s="645"/>
      <c r="Z62" s="645"/>
      <c r="AA62" s="645"/>
      <c r="AB62" s="645"/>
      <c r="AC62" s="645"/>
      <c r="AD62" s="645"/>
      <c r="AE62" s="645"/>
      <c r="AF62" s="645"/>
      <c r="AG62" s="645"/>
      <c r="AH62" s="645"/>
      <c r="AI62" s="645"/>
      <c r="AJ62" s="645"/>
      <c r="AK62" s="645"/>
    </row>
    <row r="63" spans="3:37" x14ac:dyDescent="0.3">
      <c r="D63" s="645"/>
      <c r="E63" s="645"/>
      <c r="F63" s="645"/>
      <c r="G63" s="645"/>
      <c r="H63" s="645"/>
      <c r="I63" s="645"/>
      <c r="J63" s="645"/>
      <c r="K63" s="645"/>
      <c r="L63" s="645"/>
      <c r="M63" s="645"/>
      <c r="N63" s="645"/>
      <c r="O63" s="645"/>
      <c r="P63" s="645"/>
      <c r="Q63" s="645"/>
      <c r="R63" s="645"/>
      <c r="S63" s="645"/>
      <c r="T63" s="645"/>
      <c r="U63" s="645"/>
      <c r="V63" s="645"/>
      <c r="W63" s="645"/>
      <c r="X63" s="645"/>
      <c r="Y63" s="645"/>
      <c r="Z63" s="645"/>
      <c r="AA63" s="645"/>
      <c r="AB63" s="645"/>
      <c r="AC63" s="645"/>
      <c r="AD63" s="645"/>
      <c r="AE63" s="645"/>
      <c r="AF63" s="645"/>
      <c r="AG63" s="645"/>
      <c r="AH63" s="645"/>
      <c r="AI63" s="645"/>
      <c r="AJ63" s="645"/>
      <c r="AK63" s="645"/>
    </row>
    <row r="64" spans="3:37" x14ac:dyDescent="0.3">
      <c r="D64" s="645"/>
      <c r="E64" s="645"/>
      <c r="F64" s="645"/>
      <c r="G64" s="645"/>
      <c r="H64" s="645"/>
      <c r="I64" s="645"/>
      <c r="J64" s="645"/>
      <c r="K64" s="645"/>
      <c r="L64" s="645"/>
      <c r="M64" s="645"/>
      <c r="N64" s="645"/>
      <c r="O64" s="645"/>
      <c r="P64" s="645"/>
      <c r="Q64" s="645"/>
      <c r="R64" s="645"/>
      <c r="S64" s="645"/>
      <c r="T64" s="645"/>
      <c r="U64" s="645"/>
      <c r="V64" s="645"/>
      <c r="W64" s="645"/>
      <c r="X64" s="645"/>
      <c r="Y64" s="645"/>
      <c r="Z64" s="645"/>
      <c r="AA64" s="645"/>
      <c r="AB64" s="645"/>
      <c r="AC64" s="645"/>
      <c r="AD64" s="645"/>
      <c r="AE64" s="645"/>
      <c r="AF64" s="645"/>
      <c r="AG64" s="645"/>
      <c r="AH64" s="645"/>
      <c r="AI64" s="645"/>
      <c r="AJ64" s="645"/>
      <c r="AK64" s="645"/>
    </row>
    <row r="65" spans="3:38" x14ac:dyDescent="0.3">
      <c r="D65" s="645"/>
      <c r="E65" s="645"/>
      <c r="F65" s="645"/>
      <c r="G65" s="645"/>
      <c r="H65" s="645"/>
      <c r="I65" s="645"/>
      <c r="J65" s="645"/>
      <c r="K65" s="645"/>
      <c r="L65" s="645"/>
      <c r="M65" s="645"/>
      <c r="N65" s="645"/>
      <c r="O65" s="645"/>
      <c r="P65" s="645"/>
      <c r="Q65" s="645"/>
      <c r="R65" s="645"/>
      <c r="S65" s="645"/>
      <c r="T65" s="645"/>
      <c r="U65" s="645"/>
      <c r="V65" s="645"/>
      <c r="W65" s="645"/>
      <c r="X65" s="645"/>
      <c r="Y65" s="645"/>
      <c r="Z65" s="645"/>
      <c r="AA65" s="645"/>
      <c r="AB65" s="645"/>
      <c r="AC65" s="645"/>
      <c r="AD65" s="645"/>
      <c r="AE65" s="645"/>
      <c r="AF65" s="645"/>
      <c r="AG65" s="645"/>
      <c r="AH65" s="645"/>
      <c r="AI65" s="645"/>
      <c r="AJ65" s="645"/>
      <c r="AK65" s="645"/>
    </row>
    <row r="66" spans="3:38" x14ac:dyDescent="0.3">
      <c r="D66" s="645"/>
      <c r="E66" s="645"/>
      <c r="F66" s="645"/>
      <c r="G66" s="645"/>
      <c r="H66" s="645"/>
      <c r="I66" s="645"/>
      <c r="J66" s="645"/>
      <c r="K66" s="645"/>
      <c r="L66" s="645"/>
      <c r="M66" s="645"/>
      <c r="N66" s="645"/>
      <c r="O66" s="645"/>
      <c r="P66" s="645"/>
      <c r="Q66" s="645"/>
      <c r="R66" s="645"/>
      <c r="S66" s="645"/>
      <c r="T66" s="645"/>
      <c r="U66" s="645"/>
      <c r="V66" s="645"/>
      <c r="W66" s="645"/>
      <c r="X66" s="645"/>
      <c r="Y66" s="645"/>
      <c r="Z66" s="645"/>
      <c r="AA66" s="645"/>
      <c r="AB66" s="645"/>
      <c r="AC66" s="645"/>
      <c r="AD66" s="645"/>
      <c r="AE66" s="645"/>
      <c r="AF66" s="645"/>
      <c r="AG66" s="645"/>
      <c r="AH66" s="645"/>
      <c r="AI66" s="645"/>
      <c r="AJ66" s="645"/>
      <c r="AK66" s="645"/>
    </row>
    <row r="80" spans="3:38" ht="45.6" customHeight="1" x14ac:dyDescent="0.35">
      <c r="C80" s="772" t="s">
        <v>891</v>
      </c>
      <c r="D80" s="772"/>
      <c r="E80" s="772"/>
      <c r="F80" s="772"/>
      <c r="G80" s="772"/>
      <c r="H80" s="772"/>
      <c r="I80" s="772"/>
      <c r="J80" s="772"/>
      <c r="K80" s="772"/>
      <c r="L80" s="772"/>
      <c r="M80" s="772"/>
      <c r="N80" s="772"/>
      <c r="O80" s="772"/>
      <c r="P80" s="772"/>
      <c r="Q80" s="772"/>
      <c r="R80" s="772"/>
      <c r="S80" s="772"/>
      <c r="T80" s="772"/>
      <c r="U80" s="772"/>
      <c r="V80" s="772"/>
      <c r="W80" s="772"/>
      <c r="X80" s="772"/>
      <c r="Y80" s="772"/>
      <c r="Z80" s="772"/>
      <c r="AA80" s="772"/>
      <c r="AB80" s="772"/>
      <c r="AC80" s="772"/>
      <c r="AD80" s="772"/>
      <c r="AE80" s="772"/>
      <c r="AF80" s="772"/>
      <c r="AG80" s="772"/>
      <c r="AH80" s="772"/>
      <c r="AI80" s="772"/>
      <c r="AJ80" s="772"/>
      <c r="AK80" s="659"/>
      <c r="AL80" s="650"/>
    </row>
    <row r="99" spans="3:37" ht="26.25" x14ac:dyDescent="0.4">
      <c r="D99" s="646"/>
    </row>
    <row r="100" spans="3:37" ht="26.25" x14ac:dyDescent="0.4">
      <c r="D100" s="646"/>
    </row>
    <row r="101" spans="3:37" ht="26.25" x14ac:dyDescent="0.4">
      <c r="D101" s="646"/>
    </row>
    <row r="102" spans="3:37" ht="60" customHeight="1" x14ac:dyDescent="0.35">
      <c r="C102" s="772" t="s">
        <v>935</v>
      </c>
      <c r="D102" s="772"/>
      <c r="E102" s="772"/>
      <c r="F102" s="772"/>
      <c r="G102" s="772"/>
      <c r="H102" s="772"/>
      <c r="I102" s="772"/>
      <c r="J102" s="772"/>
      <c r="K102" s="772"/>
      <c r="L102" s="772"/>
      <c r="M102" s="772"/>
      <c r="N102" s="772"/>
      <c r="O102" s="772"/>
      <c r="P102" s="772"/>
      <c r="Q102" s="772"/>
      <c r="R102" s="772"/>
      <c r="S102" s="772"/>
      <c r="T102" s="772"/>
      <c r="U102" s="772"/>
      <c r="V102" s="772"/>
      <c r="W102" s="772"/>
      <c r="X102" s="772"/>
      <c r="Y102" s="772"/>
      <c r="Z102" s="772"/>
      <c r="AA102" s="772"/>
      <c r="AB102" s="772"/>
      <c r="AC102" s="772"/>
      <c r="AD102" s="772"/>
      <c r="AE102" s="772"/>
      <c r="AF102" s="772"/>
      <c r="AG102" s="772"/>
      <c r="AH102" s="772"/>
      <c r="AI102" s="772"/>
      <c r="AJ102" s="772"/>
      <c r="AK102" s="650"/>
    </row>
    <row r="103" spans="3:37" ht="26.25" x14ac:dyDescent="0.4">
      <c r="D103" s="646"/>
    </row>
    <row r="104" spans="3:37" ht="26.25" x14ac:dyDescent="0.4">
      <c r="D104" s="646"/>
      <c r="F104" s="644" t="s">
        <v>781</v>
      </c>
    </row>
    <row r="105" spans="3:37" ht="26.25" x14ac:dyDescent="0.4">
      <c r="D105" s="646"/>
      <c r="F105" s="626"/>
    </row>
    <row r="106" spans="3:37" ht="23.45" customHeight="1" x14ac:dyDescent="0.35">
      <c r="C106" s="772" t="s">
        <v>892</v>
      </c>
      <c r="D106" s="772"/>
      <c r="E106" s="772"/>
      <c r="F106" s="772"/>
      <c r="G106" s="772"/>
      <c r="H106" s="772"/>
      <c r="I106" s="772"/>
      <c r="J106" s="772"/>
      <c r="K106" s="772"/>
      <c r="L106" s="772"/>
      <c r="M106" s="772"/>
      <c r="N106" s="772"/>
      <c r="O106" s="772"/>
      <c r="P106" s="772"/>
      <c r="Q106" s="772"/>
      <c r="R106" s="772"/>
      <c r="S106" s="772"/>
      <c r="T106" s="772"/>
      <c r="U106" s="772"/>
      <c r="V106" s="772"/>
      <c r="W106" s="772"/>
      <c r="X106" s="772"/>
      <c r="Y106" s="772"/>
      <c r="Z106" s="772"/>
      <c r="AA106" s="772"/>
      <c r="AB106" s="772"/>
      <c r="AC106" s="772"/>
      <c r="AD106" s="772"/>
      <c r="AE106" s="772"/>
      <c r="AF106" s="772"/>
      <c r="AG106" s="772"/>
      <c r="AH106" s="772"/>
      <c r="AI106" s="772"/>
      <c r="AJ106" s="772"/>
      <c r="AK106" s="663"/>
    </row>
    <row r="107" spans="3:37" ht="26.25" x14ac:dyDescent="0.4">
      <c r="D107" s="646"/>
    </row>
    <row r="108" spans="3:37" ht="26.25" x14ac:dyDescent="0.4">
      <c r="D108" s="646"/>
      <c r="G108" s="658" t="s">
        <v>782</v>
      </c>
    </row>
    <row r="109" spans="3:37" ht="26.25" x14ac:dyDescent="0.4">
      <c r="D109" s="646"/>
    </row>
    <row r="110" spans="3:37" ht="26.25" x14ac:dyDescent="0.4">
      <c r="D110" s="646"/>
      <c r="G110" s="649" t="s">
        <v>907</v>
      </c>
    </row>
    <row r="111" spans="3:37" ht="26.25" x14ac:dyDescent="0.4">
      <c r="D111" s="646"/>
    </row>
    <row r="112" spans="3:37" ht="26.25" x14ac:dyDescent="0.4">
      <c r="D112" s="646"/>
      <c r="G112" s="649" t="s">
        <v>783</v>
      </c>
    </row>
    <row r="113" spans="4:40" ht="26.25" x14ac:dyDescent="0.4">
      <c r="D113" s="646"/>
    </row>
    <row r="114" spans="4:40" ht="25.9" customHeight="1" x14ac:dyDescent="0.4">
      <c r="D114" s="646"/>
      <c r="H114" s="772" t="s">
        <v>911</v>
      </c>
      <c r="I114" s="772"/>
      <c r="J114" s="772"/>
      <c r="K114" s="772"/>
      <c r="L114" s="772"/>
      <c r="M114" s="772"/>
      <c r="N114" s="772"/>
      <c r="O114" s="772"/>
      <c r="P114" s="772"/>
      <c r="Q114" s="772"/>
      <c r="R114" s="772"/>
      <c r="S114" s="772"/>
      <c r="T114" s="772"/>
      <c r="U114" s="772"/>
      <c r="V114" s="772"/>
      <c r="W114" s="772"/>
      <c r="X114" s="772"/>
      <c r="Y114" s="772"/>
      <c r="Z114" s="772"/>
      <c r="AA114" s="772"/>
      <c r="AB114" s="772"/>
      <c r="AC114" s="772"/>
      <c r="AD114" s="772"/>
      <c r="AE114" s="772"/>
      <c r="AF114" s="772"/>
      <c r="AG114" s="772"/>
      <c r="AH114" s="772"/>
      <c r="AI114" s="772"/>
      <c r="AJ114" s="659"/>
      <c r="AK114" s="659"/>
      <c r="AL114" s="659"/>
      <c r="AM114" s="659"/>
      <c r="AN114" s="659"/>
    </row>
    <row r="115" spans="4:40" ht="26.25" x14ac:dyDescent="0.4">
      <c r="D115" s="646"/>
      <c r="H115" s="772"/>
      <c r="I115" s="772"/>
      <c r="J115" s="772"/>
      <c r="K115" s="772"/>
      <c r="L115" s="772"/>
      <c r="M115" s="772"/>
      <c r="N115" s="772"/>
      <c r="O115" s="772"/>
      <c r="P115" s="772"/>
      <c r="Q115" s="772"/>
      <c r="R115" s="772"/>
      <c r="S115" s="772"/>
      <c r="T115" s="772"/>
      <c r="U115" s="772"/>
      <c r="V115" s="772"/>
      <c r="W115" s="772"/>
      <c r="X115" s="772"/>
      <c r="Y115" s="772"/>
      <c r="Z115" s="772"/>
      <c r="AA115" s="772"/>
      <c r="AB115" s="772"/>
      <c r="AC115" s="772"/>
      <c r="AD115" s="772"/>
      <c r="AE115" s="772"/>
      <c r="AF115" s="772"/>
      <c r="AG115" s="772"/>
      <c r="AH115" s="772"/>
      <c r="AI115" s="772"/>
      <c r="AJ115" s="659"/>
      <c r="AK115" s="659"/>
      <c r="AL115" s="659"/>
      <c r="AM115" s="659"/>
      <c r="AN115" s="659"/>
    </row>
    <row r="116" spans="4:40" ht="26.25" x14ac:dyDescent="0.4">
      <c r="D116" s="646"/>
    </row>
    <row r="117" spans="4:40" ht="26.25" x14ac:dyDescent="0.4">
      <c r="D117" s="646"/>
      <c r="H117" s="809" t="s">
        <v>789</v>
      </c>
      <c r="I117" s="809"/>
      <c r="J117" s="809"/>
      <c r="K117" s="809"/>
      <c r="L117" s="809"/>
      <c r="M117" s="809"/>
      <c r="N117" s="809"/>
      <c r="O117" s="809"/>
      <c r="P117" s="820" t="s">
        <v>908</v>
      </c>
      <c r="Q117" s="821"/>
      <c r="R117" s="821"/>
      <c r="S117" s="822"/>
    </row>
    <row r="118" spans="4:40" ht="26.25" x14ac:dyDescent="0.4">
      <c r="D118" s="646"/>
      <c r="H118" s="814" t="s">
        <v>784</v>
      </c>
      <c r="I118" s="814"/>
      <c r="J118" s="814"/>
      <c r="K118" s="814"/>
      <c r="L118" s="814"/>
      <c r="M118" s="814"/>
      <c r="N118" s="814"/>
      <c r="O118" s="814"/>
      <c r="P118" s="823">
        <v>338</v>
      </c>
      <c r="Q118" s="823"/>
      <c r="R118" s="823"/>
      <c r="S118" s="823"/>
    </row>
    <row r="119" spans="4:40" ht="26.25" x14ac:dyDescent="0.4">
      <c r="D119" s="646"/>
      <c r="H119" s="814" t="s">
        <v>785</v>
      </c>
      <c r="I119" s="814"/>
      <c r="J119" s="814"/>
      <c r="K119" s="814"/>
      <c r="L119" s="814"/>
      <c r="M119" s="814"/>
      <c r="N119" s="814"/>
      <c r="O119" s="814"/>
      <c r="P119" s="823">
        <v>298</v>
      </c>
      <c r="Q119" s="823"/>
      <c r="R119" s="823"/>
      <c r="S119" s="823"/>
    </row>
    <row r="120" spans="4:40" ht="26.25" x14ac:dyDescent="0.4">
      <c r="D120" s="646"/>
      <c r="H120" s="814" t="s">
        <v>786</v>
      </c>
      <c r="I120" s="814"/>
      <c r="J120" s="814"/>
      <c r="K120" s="814"/>
      <c r="L120" s="814"/>
      <c r="M120" s="814"/>
      <c r="N120" s="814"/>
      <c r="O120" s="814"/>
      <c r="P120" s="823">
        <v>301</v>
      </c>
      <c r="Q120" s="823"/>
      <c r="R120" s="823"/>
      <c r="S120" s="823"/>
    </row>
    <row r="121" spans="4:40" ht="26.25" x14ac:dyDescent="0.4">
      <c r="D121" s="646"/>
      <c r="H121" s="814" t="s">
        <v>787</v>
      </c>
      <c r="I121" s="814"/>
      <c r="J121" s="814"/>
      <c r="K121" s="814"/>
      <c r="L121" s="814"/>
      <c r="M121" s="814"/>
      <c r="N121" s="814"/>
      <c r="O121" s="814"/>
      <c r="P121" s="823">
        <v>234.99999999999997</v>
      </c>
      <c r="Q121" s="823"/>
      <c r="R121" s="823"/>
      <c r="S121" s="823"/>
    </row>
    <row r="122" spans="4:40" ht="26.25" x14ac:dyDescent="0.4">
      <c r="D122" s="646"/>
      <c r="H122" s="814" t="s">
        <v>788</v>
      </c>
      <c r="I122" s="814"/>
      <c r="J122" s="814"/>
      <c r="K122" s="814"/>
      <c r="L122" s="814"/>
      <c r="M122" s="814"/>
      <c r="N122" s="814"/>
      <c r="O122" s="814"/>
      <c r="P122" s="825">
        <f>+SUM(P118:S121)</f>
        <v>1172</v>
      </c>
      <c r="Q122" s="825"/>
      <c r="R122" s="825"/>
      <c r="S122" s="825"/>
    </row>
    <row r="123" spans="4:40" ht="36" customHeight="1" x14ac:dyDescent="0.4">
      <c r="D123" s="646"/>
      <c r="H123" s="831" t="s">
        <v>825</v>
      </c>
      <c r="I123" s="832"/>
      <c r="J123" s="832"/>
      <c r="K123" s="832"/>
      <c r="L123" s="832"/>
      <c r="M123" s="832"/>
      <c r="N123" s="832"/>
      <c r="O123" s="832"/>
      <c r="P123" s="804">
        <f>+P122/4</f>
        <v>293</v>
      </c>
      <c r="Q123" s="804"/>
      <c r="R123" s="804"/>
      <c r="S123" s="804"/>
    </row>
    <row r="124" spans="4:40" ht="26.25" x14ac:dyDescent="0.4">
      <c r="D124" s="646"/>
    </row>
    <row r="125" spans="4:40" ht="26.25" x14ac:dyDescent="0.4">
      <c r="D125" s="646"/>
    </row>
    <row r="126" spans="4:40" ht="26.25" x14ac:dyDescent="0.4">
      <c r="D126" s="646"/>
      <c r="G126" s="649" t="s">
        <v>790</v>
      </c>
    </row>
    <row r="127" spans="4:40" ht="26.25" x14ac:dyDescent="0.4">
      <c r="D127" s="646"/>
    </row>
    <row r="128" spans="4:40" ht="25.9" customHeight="1" x14ac:dyDescent="0.4">
      <c r="D128" s="646"/>
      <c r="H128" s="772" t="s">
        <v>927</v>
      </c>
      <c r="I128" s="772"/>
      <c r="J128" s="772"/>
      <c r="K128" s="772"/>
      <c r="L128" s="772"/>
      <c r="M128" s="772"/>
      <c r="N128" s="772"/>
      <c r="O128" s="772"/>
      <c r="P128" s="772"/>
      <c r="Q128" s="772"/>
      <c r="R128" s="772"/>
      <c r="S128" s="772"/>
      <c r="T128" s="772"/>
      <c r="U128" s="772"/>
      <c r="V128" s="772"/>
      <c r="W128" s="772"/>
      <c r="X128" s="772"/>
      <c r="Y128" s="772"/>
      <c r="Z128" s="772"/>
      <c r="AA128" s="772"/>
      <c r="AB128" s="772"/>
      <c r="AC128" s="772"/>
      <c r="AD128" s="772"/>
      <c r="AE128" s="772"/>
      <c r="AF128" s="772"/>
      <c r="AG128" s="772"/>
      <c r="AH128" s="772"/>
      <c r="AI128" s="772"/>
      <c r="AJ128" s="659"/>
      <c r="AK128" s="659"/>
      <c r="AL128" s="659"/>
      <c r="AM128" s="659"/>
      <c r="AN128" s="659"/>
    </row>
    <row r="129" spans="4:40" ht="26.25" x14ac:dyDescent="0.4">
      <c r="D129" s="646"/>
      <c r="H129" s="772"/>
      <c r="I129" s="772"/>
      <c r="J129" s="772"/>
      <c r="K129" s="772"/>
      <c r="L129" s="772"/>
      <c r="M129" s="772"/>
      <c r="N129" s="772"/>
      <c r="O129" s="772"/>
      <c r="P129" s="772"/>
      <c r="Q129" s="772"/>
      <c r="R129" s="772"/>
      <c r="S129" s="772"/>
      <c r="T129" s="772"/>
      <c r="U129" s="772"/>
      <c r="V129" s="772"/>
      <c r="W129" s="772"/>
      <c r="X129" s="772"/>
      <c r="Y129" s="772"/>
      <c r="Z129" s="772"/>
      <c r="AA129" s="772"/>
      <c r="AB129" s="772"/>
      <c r="AC129" s="772"/>
      <c r="AD129" s="772"/>
      <c r="AE129" s="772"/>
      <c r="AF129" s="772"/>
      <c r="AG129" s="772"/>
      <c r="AH129" s="772"/>
      <c r="AI129" s="772"/>
      <c r="AJ129" s="659"/>
      <c r="AK129" s="659"/>
      <c r="AL129" s="659"/>
      <c r="AM129" s="659"/>
      <c r="AN129" s="659"/>
    </row>
    <row r="130" spans="4:40" ht="26.25" x14ac:dyDescent="0.4">
      <c r="D130" s="646"/>
    </row>
    <row r="131" spans="4:40" ht="26.25" x14ac:dyDescent="0.4">
      <c r="D131" s="646"/>
      <c r="H131" s="826" t="s">
        <v>909</v>
      </c>
      <c r="I131" s="826"/>
      <c r="J131" s="826"/>
      <c r="K131" s="826"/>
      <c r="L131" s="826"/>
      <c r="M131" s="826"/>
      <c r="N131" s="826"/>
      <c r="O131" s="826"/>
      <c r="P131" s="826"/>
      <c r="Q131" s="826"/>
      <c r="R131" s="787">
        <v>456</v>
      </c>
      <c r="S131" s="788"/>
      <c r="T131" s="789"/>
    </row>
    <row r="132" spans="4:40" ht="26.25" x14ac:dyDescent="0.4">
      <c r="D132" s="646"/>
      <c r="H132" s="826" t="s">
        <v>910</v>
      </c>
      <c r="I132" s="826"/>
      <c r="J132" s="826"/>
      <c r="K132" s="826"/>
      <c r="L132" s="826"/>
      <c r="M132" s="826"/>
      <c r="N132" s="826"/>
      <c r="O132" s="826"/>
      <c r="P132" s="826"/>
      <c r="Q132" s="826"/>
      <c r="R132" s="787">
        <v>2280</v>
      </c>
      <c r="S132" s="788"/>
      <c r="T132" s="789"/>
    </row>
    <row r="133" spans="4:40" ht="26.25" x14ac:dyDescent="0.4">
      <c r="D133" s="646"/>
      <c r="H133" s="826" t="s">
        <v>826</v>
      </c>
      <c r="I133" s="826"/>
      <c r="J133" s="826"/>
      <c r="K133" s="826"/>
      <c r="L133" s="826"/>
      <c r="M133" s="826"/>
      <c r="N133" s="826"/>
      <c r="O133" s="826"/>
      <c r="P133" s="826"/>
      <c r="Q133" s="826"/>
      <c r="R133" s="861">
        <f>+R131/R132</f>
        <v>0.2</v>
      </c>
      <c r="S133" s="862"/>
      <c r="T133" s="863"/>
    </row>
    <row r="134" spans="4:40" ht="26.25" x14ac:dyDescent="0.4">
      <c r="D134" s="646"/>
    </row>
    <row r="135" spans="4:40" ht="25.9" customHeight="1" x14ac:dyDescent="0.4">
      <c r="D135" s="646"/>
      <c r="E135" s="650"/>
      <c r="G135" s="650"/>
      <c r="H135" s="666" t="s">
        <v>893</v>
      </c>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650"/>
      <c r="AL135" s="650"/>
    </row>
    <row r="136" spans="4:40" ht="26.25" x14ac:dyDescent="0.4">
      <c r="D136" s="646"/>
    </row>
    <row r="137" spans="4:40" ht="26.25" x14ac:dyDescent="0.4">
      <c r="D137" s="646"/>
    </row>
    <row r="138" spans="4:40" ht="26.25" x14ac:dyDescent="0.4">
      <c r="D138" s="646"/>
    </row>
    <row r="139" spans="4:40" ht="26.25" x14ac:dyDescent="0.4">
      <c r="D139" s="646"/>
    </row>
    <row r="140" spans="4:40" ht="26.25" x14ac:dyDescent="0.4">
      <c r="D140" s="646"/>
    </row>
    <row r="141" spans="4:40" ht="26.25" x14ac:dyDescent="0.4">
      <c r="D141" s="646"/>
    </row>
    <row r="142" spans="4:40" ht="26.25" x14ac:dyDescent="0.4">
      <c r="D142" s="646"/>
    </row>
    <row r="143" spans="4:40" ht="26.25" x14ac:dyDescent="0.4">
      <c r="D143" s="646"/>
    </row>
    <row r="144" spans="4:40" ht="26.25" x14ac:dyDescent="0.4">
      <c r="D144" s="646"/>
    </row>
    <row r="145" spans="4:40" ht="26.25" x14ac:dyDescent="0.4">
      <c r="D145" s="646"/>
    </row>
    <row r="146" spans="4:40" ht="26.25" x14ac:dyDescent="0.4">
      <c r="D146" s="646"/>
    </row>
    <row r="147" spans="4:40" ht="26.25" x14ac:dyDescent="0.4">
      <c r="D147" s="646"/>
    </row>
    <row r="148" spans="4:40" ht="26.25" x14ac:dyDescent="0.4">
      <c r="D148" s="646"/>
    </row>
    <row r="149" spans="4:40" ht="52.15" customHeight="1" x14ac:dyDescent="0.4">
      <c r="D149" s="646"/>
      <c r="F149" s="666"/>
      <c r="G149" s="666"/>
      <c r="H149" s="771" t="s">
        <v>928</v>
      </c>
      <c r="I149" s="771"/>
      <c r="J149" s="771"/>
      <c r="K149" s="771"/>
      <c r="L149" s="771"/>
      <c r="M149" s="771"/>
      <c r="N149" s="771"/>
      <c r="O149" s="771"/>
      <c r="P149" s="771"/>
      <c r="Q149" s="771"/>
      <c r="R149" s="771"/>
      <c r="S149" s="771"/>
      <c r="T149" s="771"/>
      <c r="U149" s="771"/>
      <c r="V149" s="771"/>
      <c r="W149" s="771"/>
      <c r="X149" s="771"/>
      <c r="Y149" s="771"/>
      <c r="Z149" s="771"/>
      <c r="AA149" s="771"/>
      <c r="AB149" s="771"/>
      <c r="AC149" s="771"/>
      <c r="AD149" s="771"/>
      <c r="AE149" s="771"/>
      <c r="AF149" s="771"/>
      <c r="AG149" s="771"/>
      <c r="AH149" s="771"/>
      <c r="AI149" s="771"/>
      <c r="AJ149" s="666"/>
      <c r="AK149" s="666"/>
      <c r="AL149" s="666"/>
    </row>
    <row r="150" spans="4:40" ht="26.25" x14ac:dyDescent="0.4">
      <c r="D150" s="646"/>
      <c r="E150" s="651"/>
      <c r="F150" s="651"/>
      <c r="G150" s="651"/>
      <c r="H150" s="651"/>
      <c r="I150" s="651"/>
      <c r="J150" s="651"/>
      <c r="K150" s="651"/>
      <c r="L150" s="651"/>
      <c r="M150" s="651"/>
      <c r="N150" s="651"/>
      <c r="O150" s="651"/>
      <c r="P150" s="651"/>
      <c r="Q150" s="651"/>
      <c r="R150" s="651"/>
      <c r="S150" s="651"/>
      <c r="T150" s="651"/>
      <c r="U150" s="651"/>
      <c r="V150" s="651"/>
      <c r="W150" s="651"/>
      <c r="X150" s="651"/>
      <c r="Y150" s="651"/>
      <c r="Z150" s="651"/>
      <c r="AA150" s="651"/>
      <c r="AB150" s="651"/>
      <c r="AC150" s="651"/>
      <c r="AD150" s="651"/>
      <c r="AE150" s="651"/>
      <c r="AF150" s="651"/>
      <c r="AG150" s="651"/>
      <c r="AH150" s="651"/>
      <c r="AI150" s="651"/>
      <c r="AJ150" s="651"/>
      <c r="AK150" s="651"/>
      <c r="AL150" s="651"/>
    </row>
    <row r="151" spans="4:40" ht="26.25" x14ac:dyDescent="0.4">
      <c r="D151" s="646"/>
      <c r="E151" s="651"/>
      <c r="F151" s="651"/>
      <c r="G151" s="651"/>
      <c r="H151" s="651"/>
      <c r="I151" s="651"/>
      <c r="J151" s="651"/>
      <c r="K151" s="651"/>
      <c r="L151" s="651"/>
      <c r="M151" s="651"/>
      <c r="N151" s="651"/>
      <c r="O151" s="651"/>
      <c r="P151" s="651"/>
      <c r="Q151" s="651"/>
      <c r="R151" s="651"/>
      <c r="S151" s="651"/>
      <c r="T151" s="651"/>
      <c r="U151" s="651"/>
      <c r="V151" s="651"/>
      <c r="W151" s="651"/>
      <c r="X151" s="651"/>
      <c r="Y151" s="651"/>
      <c r="Z151" s="651"/>
      <c r="AA151" s="651"/>
      <c r="AB151" s="651"/>
      <c r="AC151" s="651"/>
      <c r="AD151" s="651"/>
      <c r="AE151" s="651"/>
      <c r="AF151" s="651"/>
      <c r="AG151" s="651"/>
      <c r="AH151" s="651"/>
      <c r="AI151" s="651"/>
      <c r="AJ151" s="651"/>
      <c r="AK151" s="651"/>
      <c r="AL151" s="651"/>
    </row>
    <row r="152" spans="4:40" ht="26.25" x14ac:dyDescent="0.4">
      <c r="D152" s="646"/>
      <c r="E152" s="651"/>
      <c r="F152" s="651"/>
      <c r="G152" s="651"/>
      <c r="H152" s="651"/>
      <c r="I152" s="651"/>
      <c r="J152" s="651"/>
      <c r="K152" s="651"/>
      <c r="L152" s="651"/>
      <c r="M152" s="651"/>
      <c r="N152" s="651"/>
      <c r="O152" s="651"/>
      <c r="P152" s="651"/>
      <c r="Q152" s="651"/>
      <c r="R152" s="651"/>
      <c r="S152" s="651"/>
      <c r="T152" s="651"/>
      <c r="U152" s="651"/>
      <c r="V152" s="651"/>
      <c r="W152" s="651"/>
      <c r="X152" s="651"/>
      <c r="Y152" s="651"/>
      <c r="Z152" s="651"/>
      <c r="AA152" s="651"/>
      <c r="AB152" s="651"/>
      <c r="AC152" s="651"/>
      <c r="AD152" s="651"/>
      <c r="AE152" s="651"/>
      <c r="AF152" s="651"/>
      <c r="AG152" s="651"/>
      <c r="AH152" s="651"/>
      <c r="AI152" s="651"/>
      <c r="AJ152" s="651"/>
      <c r="AK152" s="651"/>
      <c r="AL152" s="651"/>
    </row>
    <row r="153" spans="4:40" ht="26.25" x14ac:dyDescent="0.4">
      <c r="D153" s="646"/>
      <c r="E153" s="651"/>
      <c r="F153" s="651"/>
      <c r="G153" s="651"/>
      <c r="H153" s="651"/>
      <c r="I153" s="651"/>
      <c r="J153" s="651"/>
      <c r="K153" s="651"/>
      <c r="L153" s="651"/>
      <c r="M153" s="651"/>
      <c r="N153" s="651"/>
      <c r="O153" s="651"/>
      <c r="P153" s="651"/>
      <c r="Q153" s="651"/>
      <c r="R153" s="651"/>
      <c r="S153" s="651"/>
      <c r="T153" s="651"/>
      <c r="U153" s="651"/>
      <c r="V153" s="651"/>
      <c r="W153" s="651"/>
      <c r="X153" s="651"/>
      <c r="Y153" s="651"/>
      <c r="Z153" s="651"/>
      <c r="AA153" s="651"/>
      <c r="AB153" s="651"/>
      <c r="AC153" s="651"/>
      <c r="AD153" s="651"/>
      <c r="AE153" s="651"/>
      <c r="AF153" s="651"/>
      <c r="AG153" s="651"/>
      <c r="AH153" s="651"/>
      <c r="AI153" s="651"/>
      <c r="AJ153" s="651"/>
      <c r="AK153" s="651"/>
      <c r="AL153" s="651"/>
    </row>
    <row r="154" spans="4:40" ht="26.25" x14ac:dyDescent="0.4">
      <c r="D154" s="646"/>
      <c r="E154" s="650"/>
      <c r="F154" s="650"/>
      <c r="G154" s="650"/>
      <c r="H154" s="650"/>
      <c r="I154" s="650"/>
      <c r="J154" s="650"/>
      <c r="K154" s="650"/>
      <c r="L154" s="650"/>
      <c r="M154" s="650"/>
      <c r="N154" s="650"/>
      <c r="O154" s="650"/>
      <c r="P154" s="650"/>
      <c r="Q154" s="650"/>
      <c r="R154" s="650"/>
      <c r="S154" s="650"/>
      <c r="T154" s="650"/>
      <c r="U154" s="650"/>
      <c r="V154" s="650"/>
      <c r="W154" s="650"/>
      <c r="X154" s="650"/>
      <c r="Y154" s="650"/>
      <c r="Z154" s="650"/>
      <c r="AA154" s="650"/>
      <c r="AB154" s="650"/>
      <c r="AC154" s="650"/>
      <c r="AD154" s="650"/>
      <c r="AE154" s="650"/>
      <c r="AF154" s="650"/>
      <c r="AG154" s="650"/>
      <c r="AH154" s="650"/>
      <c r="AI154" s="650"/>
      <c r="AJ154" s="650"/>
      <c r="AK154" s="650"/>
      <c r="AL154" s="650"/>
    </row>
    <row r="155" spans="4:40" ht="26.25" x14ac:dyDescent="0.4">
      <c r="D155" s="646"/>
      <c r="E155" s="650"/>
      <c r="F155" s="650"/>
      <c r="G155" s="650"/>
      <c r="H155" s="650"/>
      <c r="I155" s="650"/>
      <c r="J155" s="650"/>
      <c r="K155" s="650"/>
      <c r="L155" s="650"/>
      <c r="M155" s="650"/>
      <c r="N155" s="650"/>
      <c r="O155" s="650"/>
      <c r="P155" s="650"/>
      <c r="Q155" s="650"/>
      <c r="R155" s="650"/>
      <c r="S155" s="650"/>
      <c r="T155" s="650"/>
      <c r="U155" s="650"/>
      <c r="V155" s="650"/>
      <c r="W155" s="650"/>
      <c r="X155" s="650"/>
      <c r="Y155" s="650"/>
      <c r="Z155" s="650"/>
      <c r="AA155" s="650"/>
      <c r="AB155" s="650"/>
      <c r="AC155" s="650"/>
      <c r="AD155" s="650"/>
      <c r="AE155" s="650"/>
      <c r="AF155" s="650"/>
      <c r="AG155" s="650"/>
      <c r="AH155" s="650"/>
      <c r="AI155" s="650"/>
      <c r="AJ155" s="650"/>
      <c r="AK155" s="650"/>
      <c r="AL155" s="650"/>
    </row>
    <row r="156" spans="4:40" ht="26.25" x14ac:dyDescent="0.4">
      <c r="D156" s="646"/>
      <c r="E156" s="650"/>
      <c r="F156" s="650"/>
      <c r="G156" s="650"/>
      <c r="H156" s="650"/>
      <c r="I156" s="650"/>
      <c r="J156" s="650"/>
      <c r="K156" s="650"/>
      <c r="L156" s="650"/>
      <c r="M156" s="650"/>
      <c r="N156" s="650"/>
      <c r="O156" s="650"/>
      <c r="P156" s="650"/>
      <c r="Q156" s="650"/>
      <c r="R156" s="650"/>
      <c r="S156" s="650"/>
      <c r="T156" s="650"/>
      <c r="U156" s="650"/>
      <c r="V156" s="650"/>
      <c r="W156" s="650"/>
      <c r="X156" s="650"/>
      <c r="Y156" s="650"/>
      <c r="Z156" s="650"/>
      <c r="AA156" s="650"/>
      <c r="AB156" s="650"/>
      <c r="AC156" s="650"/>
      <c r="AD156" s="650"/>
      <c r="AE156" s="650"/>
      <c r="AF156" s="650"/>
      <c r="AG156" s="650"/>
      <c r="AH156" s="650"/>
      <c r="AI156" s="650"/>
      <c r="AJ156" s="650"/>
      <c r="AK156" s="650"/>
      <c r="AL156" s="650"/>
    </row>
    <row r="157" spans="4:40" ht="26.25" x14ac:dyDescent="0.4">
      <c r="D157" s="646"/>
    </row>
    <row r="158" spans="4:40" ht="26.25" x14ac:dyDescent="0.4">
      <c r="D158" s="646"/>
      <c r="G158" s="649" t="s">
        <v>801</v>
      </c>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649"/>
      <c r="AM158" s="649"/>
      <c r="AN158" s="649"/>
    </row>
    <row r="159" spans="4:40" ht="26.25" x14ac:dyDescent="0.4">
      <c r="D159" s="646"/>
      <c r="G159" s="649"/>
      <c r="H159" s="772" t="s">
        <v>929</v>
      </c>
      <c r="I159" s="772"/>
      <c r="J159" s="772"/>
      <c r="K159" s="772"/>
      <c r="L159" s="772"/>
      <c r="M159" s="772"/>
      <c r="N159" s="772"/>
      <c r="O159" s="772"/>
      <c r="P159" s="772"/>
      <c r="Q159" s="772"/>
      <c r="R159" s="772"/>
      <c r="S159" s="772"/>
      <c r="T159" s="772"/>
      <c r="U159" s="772"/>
      <c r="V159" s="772"/>
      <c r="W159" s="772"/>
      <c r="X159" s="772"/>
      <c r="Y159" s="772"/>
      <c r="Z159" s="772"/>
      <c r="AA159" s="772"/>
      <c r="AB159" s="772"/>
      <c r="AC159" s="772"/>
      <c r="AD159" s="772"/>
      <c r="AE159" s="772"/>
      <c r="AF159" s="772"/>
      <c r="AG159" s="772"/>
      <c r="AH159" s="772"/>
      <c r="AI159" s="772"/>
      <c r="AJ159" s="649"/>
      <c r="AK159" s="649"/>
      <c r="AL159" s="649"/>
      <c r="AM159" s="649"/>
      <c r="AN159" s="649"/>
    </row>
    <row r="160" spans="4:40" ht="25.9" customHeight="1" x14ac:dyDescent="0.4">
      <c r="D160" s="646"/>
      <c r="G160" s="649"/>
      <c r="H160" s="772"/>
      <c r="I160" s="772"/>
      <c r="J160" s="772"/>
      <c r="K160" s="772"/>
      <c r="L160" s="772"/>
      <c r="M160" s="772"/>
      <c r="N160" s="772"/>
      <c r="O160" s="772"/>
      <c r="P160" s="772"/>
      <c r="Q160" s="772"/>
      <c r="R160" s="772"/>
      <c r="S160" s="772"/>
      <c r="T160" s="772"/>
      <c r="U160" s="772"/>
      <c r="V160" s="772"/>
      <c r="W160" s="772"/>
      <c r="X160" s="772"/>
      <c r="Y160" s="772"/>
      <c r="Z160" s="772"/>
      <c r="AA160" s="772"/>
      <c r="AB160" s="772"/>
      <c r="AC160" s="772"/>
      <c r="AD160" s="772"/>
      <c r="AE160" s="772"/>
      <c r="AF160" s="772"/>
      <c r="AG160" s="772"/>
      <c r="AH160" s="772"/>
      <c r="AI160" s="772"/>
      <c r="AJ160" s="659"/>
      <c r="AK160" s="659"/>
      <c r="AL160" s="659"/>
      <c r="AM160" s="659"/>
      <c r="AN160" s="659"/>
    </row>
    <row r="161" spans="4:46" ht="26.25" x14ac:dyDescent="0.4">
      <c r="D161" s="646"/>
      <c r="G161" s="649"/>
      <c r="H161" s="659"/>
      <c r="I161" s="659"/>
      <c r="J161" s="659"/>
      <c r="K161" s="659"/>
      <c r="L161" s="659"/>
      <c r="M161" s="659"/>
      <c r="N161" s="659"/>
      <c r="O161" s="659"/>
      <c r="P161" s="659"/>
      <c r="Q161" s="659"/>
      <c r="R161" s="659"/>
      <c r="S161" s="659"/>
      <c r="T161" s="659"/>
      <c r="U161" s="659"/>
      <c r="V161" s="659"/>
      <c r="W161" s="659"/>
      <c r="X161" s="659"/>
      <c r="Y161" s="659"/>
      <c r="Z161" s="659"/>
      <c r="AA161" s="659"/>
      <c r="AB161" s="659"/>
      <c r="AC161" s="659"/>
      <c r="AD161" s="659"/>
      <c r="AE161" s="659"/>
      <c r="AF161" s="659"/>
      <c r="AG161" s="659"/>
      <c r="AH161" s="659"/>
      <c r="AI161" s="659"/>
      <c r="AJ161" s="659"/>
      <c r="AK161" s="659"/>
      <c r="AL161" s="659"/>
      <c r="AM161" s="659"/>
      <c r="AN161" s="659"/>
    </row>
    <row r="162" spans="4:46" ht="26.25" x14ac:dyDescent="0.4">
      <c r="D162" s="646"/>
    </row>
    <row r="163" spans="4:46" ht="26.25" x14ac:dyDescent="0.4">
      <c r="D163" s="646"/>
      <c r="H163" s="839" t="s">
        <v>307</v>
      </c>
      <c r="I163" s="839"/>
      <c r="J163" s="839"/>
      <c r="K163" s="839"/>
      <c r="L163" s="839"/>
      <c r="M163" s="839"/>
      <c r="N163" s="839"/>
      <c r="O163" s="839" t="s">
        <v>110</v>
      </c>
      <c r="P163" s="839"/>
      <c r="Q163" s="841" t="s">
        <v>802</v>
      </c>
      <c r="R163" s="841"/>
      <c r="S163" s="839" t="s">
        <v>9</v>
      </c>
      <c r="T163" s="839"/>
    </row>
    <row r="164" spans="4:46" ht="26.25" x14ac:dyDescent="0.4">
      <c r="D164" s="646"/>
      <c r="H164" s="798" t="s">
        <v>166</v>
      </c>
      <c r="I164" s="798"/>
      <c r="J164" s="798"/>
      <c r="K164" s="798"/>
      <c r="L164" s="798"/>
      <c r="M164" s="798"/>
      <c r="N164" s="798"/>
      <c r="O164" s="798">
        <v>1</v>
      </c>
      <c r="P164" s="798"/>
      <c r="Q164" s="798">
        <v>7000</v>
      </c>
      <c r="R164" s="798"/>
      <c r="S164" s="798">
        <f>+Q164*O164</f>
        <v>7000</v>
      </c>
      <c r="T164" s="798"/>
    </row>
    <row r="165" spans="4:46" ht="26.25" x14ac:dyDescent="0.4">
      <c r="D165" s="646"/>
      <c r="H165" s="798" t="s">
        <v>803</v>
      </c>
      <c r="I165" s="798"/>
      <c r="J165" s="798"/>
      <c r="K165" s="798"/>
      <c r="L165" s="798"/>
      <c r="M165" s="798"/>
      <c r="N165" s="798"/>
      <c r="O165" s="840">
        <f>1171/4</f>
        <v>292.75</v>
      </c>
      <c r="P165" s="840"/>
      <c r="Q165" s="798">
        <v>3</v>
      </c>
      <c r="R165" s="798"/>
      <c r="S165" s="840">
        <f t="shared" ref="S165:S170" si="0">+Q165*O165</f>
        <v>878.25</v>
      </c>
      <c r="T165" s="840"/>
    </row>
    <row r="166" spans="4:46" ht="26.25" x14ac:dyDescent="0.4">
      <c r="D166" s="646"/>
      <c r="H166" s="798" t="s">
        <v>175</v>
      </c>
      <c r="I166" s="798"/>
      <c r="J166" s="798"/>
      <c r="K166" s="798"/>
      <c r="L166" s="798"/>
      <c r="M166" s="798"/>
      <c r="N166" s="798"/>
      <c r="O166" s="798">
        <v>1</v>
      </c>
      <c r="P166" s="798"/>
      <c r="Q166" s="798">
        <v>400</v>
      </c>
      <c r="R166" s="798"/>
      <c r="S166" s="798">
        <f t="shared" si="0"/>
        <v>400</v>
      </c>
      <c r="T166" s="798"/>
    </row>
    <row r="167" spans="4:46" ht="26.25" x14ac:dyDescent="0.4">
      <c r="D167" s="646"/>
      <c r="H167" s="798" t="s">
        <v>186</v>
      </c>
      <c r="I167" s="798"/>
      <c r="J167" s="798"/>
      <c r="K167" s="798"/>
      <c r="L167" s="798"/>
      <c r="M167" s="798"/>
      <c r="N167" s="798"/>
      <c r="O167" s="798">
        <v>1</v>
      </c>
      <c r="P167" s="798"/>
      <c r="Q167" s="798">
        <v>14700</v>
      </c>
      <c r="R167" s="798"/>
      <c r="S167" s="798">
        <f t="shared" si="0"/>
        <v>14700</v>
      </c>
      <c r="T167" s="798"/>
    </row>
    <row r="168" spans="4:46" ht="26.25" x14ac:dyDescent="0.4">
      <c r="D168" s="646"/>
      <c r="H168" s="798" t="s">
        <v>189</v>
      </c>
      <c r="I168" s="798"/>
      <c r="J168" s="798"/>
      <c r="K168" s="798"/>
      <c r="L168" s="798"/>
      <c r="M168" s="798"/>
      <c r="N168" s="798"/>
      <c r="O168" s="798">
        <v>2</v>
      </c>
      <c r="P168" s="798"/>
      <c r="Q168" s="798">
        <v>100</v>
      </c>
      <c r="R168" s="798"/>
      <c r="S168" s="798">
        <f t="shared" si="0"/>
        <v>200</v>
      </c>
      <c r="T168" s="798"/>
    </row>
    <row r="169" spans="4:46" ht="26.25" x14ac:dyDescent="0.4">
      <c r="D169" s="646"/>
      <c r="H169" s="798" t="s">
        <v>194</v>
      </c>
      <c r="I169" s="798"/>
      <c r="J169" s="798"/>
      <c r="K169" s="798"/>
      <c r="L169" s="798"/>
      <c r="M169" s="798"/>
      <c r="N169" s="798"/>
      <c r="O169" s="798">
        <v>2</v>
      </c>
      <c r="P169" s="798"/>
      <c r="Q169" s="798">
        <v>40</v>
      </c>
      <c r="R169" s="798"/>
      <c r="S169" s="798">
        <f t="shared" si="0"/>
        <v>80</v>
      </c>
      <c r="T169" s="798"/>
    </row>
    <row r="170" spans="4:46" ht="26.25" x14ac:dyDescent="0.4">
      <c r="D170" s="646"/>
      <c r="H170" s="798" t="s">
        <v>196</v>
      </c>
      <c r="I170" s="798"/>
      <c r="J170" s="798"/>
      <c r="K170" s="798"/>
      <c r="L170" s="798"/>
      <c r="M170" s="798"/>
      <c r="N170" s="798"/>
      <c r="O170" s="798">
        <v>1</v>
      </c>
      <c r="P170" s="798"/>
      <c r="Q170" s="798">
        <v>1813</v>
      </c>
      <c r="R170" s="798"/>
      <c r="S170" s="798">
        <f t="shared" si="0"/>
        <v>1813</v>
      </c>
      <c r="T170" s="798"/>
    </row>
    <row r="171" spans="4:46" ht="26.25" x14ac:dyDescent="0.4">
      <c r="D171" s="646"/>
      <c r="H171" s="792" t="s">
        <v>827</v>
      </c>
      <c r="I171" s="793"/>
      <c r="J171" s="793"/>
      <c r="K171" s="793"/>
      <c r="L171" s="793"/>
      <c r="M171" s="793"/>
      <c r="N171" s="793"/>
      <c r="O171" s="793"/>
      <c r="P171" s="793"/>
      <c r="Q171" s="793"/>
      <c r="R171" s="794"/>
      <c r="S171" s="854">
        <f>+SUM(S164:T170)</f>
        <v>25071.25</v>
      </c>
      <c r="T171" s="854"/>
    </row>
    <row r="172" spans="4:46" ht="26.25" x14ac:dyDescent="0.4">
      <c r="D172" s="646"/>
    </row>
    <row r="173" spans="4:46" ht="31.9" customHeight="1" x14ac:dyDescent="0.4">
      <c r="D173" s="646"/>
      <c r="H173" s="772" t="s">
        <v>930</v>
      </c>
      <c r="I173" s="772"/>
      <c r="J173" s="772"/>
      <c r="K173" s="772"/>
      <c r="L173" s="772"/>
      <c r="M173" s="772"/>
      <c r="N173" s="772"/>
      <c r="O173" s="772"/>
      <c r="P173" s="772"/>
      <c r="Q173" s="772"/>
      <c r="R173" s="772"/>
      <c r="S173" s="772"/>
      <c r="T173" s="772"/>
      <c r="U173" s="772"/>
      <c r="V173" s="772"/>
      <c r="W173" s="772"/>
      <c r="X173" s="772"/>
      <c r="Y173" s="772"/>
      <c r="Z173" s="772"/>
      <c r="AA173" s="772"/>
      <c r="AB173" s="772"/>
      <c r="AC173" s="772"/>
      <c r="AD173" s="772"/>
      <c r="AE173" s="772"/>
      <c r="AF173" s="772"/>
      <c r="AG173" s="772"/>
      <c r="AH173" s="772"/>
      <c r="AI173" s="772"/>
      <c r="AJ173" s="659"/>
      <c r="AK173" s="659"/>
      <c r="AL173" s="659"/>
      <c r="AM173" s="659"/>
      <c r="AN173" s="659"/>
      <c r="AO173" s="659"/>
      <c r="AP173" s="659"/>
      <c r="AQ173" s="659"/>
      <c r="AR173" s="659"/>
      <c r="AS173" s="659"/>
      <c r="AT173" s="659"/>
    </row>
    <row r="174" spans="4:46" ht="31.9" customHeight="1" x14ac:dyDescent="0.4">
      <c r="D174" s="646"/>
      <c r="H174" s="772"/>
      <c r="I174" s="772"/>
      <c r="J174" s="772"/>
      <c r="K174" s="772"/>
      <c r="L174" s="772"/>
      <c r="M174" s="772"/>
      <c r="N174" s="772"/>
      <c r="O174" s="772"/>
      <c r="P174" s="772"/>
      <c r="Q174" s="772"/>
      <c r="R174" s="772"/>
      <c r="S174" s="772"/>
      <c r="T174" s="772"/>
      <c r="U174" s="772"/>
      <c r="V174" s="772"/>
      <c r="W174" s="772"/>
      <c r="X174" s="772"/>
      <c r="Y174" s="772"/>
      <c r="Z174" s="772"/>
      <c r="AA174" s="772"/>
      <c r="AB174" s="772"/>
      <c r="AC174" s="772"/>
      <c r="AD174" s="772"/>
      <c r="AE174" s="772"/>
      <c r="AF174" s="772"/>
      <c r="AG174" s="772"/>
      <c r="AH174" s="772"/>
      <c r="AI174" s="772"/>
      <c r="AJ174" s="659"/>
      <c r="AK174" s="659"/>
      <c r="AL174" s="659"/>
      <c r="AM174" s="659"/>
      <c r="AN174" s="659"/>
      <c r="AO174" s="659"/>
      <c r="AP174" s="659"/>
      <c r="AQ174" s="659"/>
      <c r="AR174" s="659"/>
      <c r="AS174" s="659"/>
      <c r="AT174" s="659"/>
    </row>
    <row r="175" spans="4:46" ht="26.25" x14ac:dyDescent="0.4">
      <c r="D175" s="646"/>
      <c r="H175" s="657"/>
      <c r="I175" s="657"/>
      <c r="J175" s="657"/>
      <c r="K175" s="657"/>
      <c r="L175" s="657"/>
      <c r="M175" s="657"/>
      <c r="N175" s="657"/>
      <c r="O175" s="657"/>
      <c r="P175" s="657"/>
      <c r="Q175" s="657"/>
      <c r="R175" s="657"/>
      <c r="S175" s="657"/>
      <c r="T175" s="657"/>
      <c r="U175" s="657"/>
      <c r="V175" s="657"/>
      <c r="W175" s="657"/>
      <c r="X175" s="657"/>
      <c r="Y175" s="657"/>
      <c r="Z175" s="657"/>
      <c r="AA175" s="657"/>
      <c r="AB175" s="657"/>
      <c r="AC175" s="657"/>
      <c r="AD175" s="657"/>
      <c r="AE175" s="657"/>
      <c r="AF175" s="657"/>
      <c r="AG175" s="657"/>
      <c r="AH175" s="657"/>
      <c r="AI175" s="657"/>
      <c r="AJ175" s="657"/>
      <c r="AK175" s="657"/>
      <c r="AL175" s="657"/>
      <c r="AM175" s="657"/>
      <c r="AN175" s="657"/>
      <c r="AO175" s="657"/>
      <c r="AP175" s="657"/>
      <c r="AQ175" s="657"/>
      <c r="AR175" s="657"/>
      <c r="AS175" s="657"/>
      <c r="AT175" s="657"/>
    </row>
    <row r="176" spans="4:46" ht="26.25" x14ac:dyDescent="0.4">
      <c r="D176" s="646"/>
      <c r="H176" s="657"/>
      <c r="I176" s="657"/>
      <c r="J176" s="657"/>
      <c r="K176" s="657"/>
      <c r="L176" s="657"/>
      <c r="M176" s="657"/>
      <c r="N176" s="657"/>
      <c r="O176" s="657"/>
      <c r="P176" s="657"/>
      <c r="Q176" s="657"/>
      <c r="R176" s="657"/>
      <c r="S176" s="657"/>
      <c r="T176" s="657"/>
      <c r="U176" s="657"/>
      <c r="V176" s="657"/>
      <c r="W176" s="657"/>
      <c r="X176" s="657"/>
      <c r="Y176" s="657"/>
      <c r="Z176" s="657"/>
      <c r="AA176" s="657"/>
      <c r="AB176" s="657"/>
      <c r="AC176" s="657"/>
      <c r="AD176" s="657"/>
      <c r="AE176" s="657"/>
      <c r="AF176" s="657"/>
      <c r="AG176" s="657"/>
      <c r="AH176" s="657"/>
      <c r="AI176" s="657"/>
      <c r="AJ176" s="657"/>
      <c r="AK176" s="657"/>
      <c r="AL176" s="657"/>
      <c r="AM176" s="657"/>
      <c r="AN176" s="657"/>
      <c r="AO176" s="657"/>
      <c r="AP176" s="657"/>
      <c r="AQ176" s="657"/>
      <c r="AR176" s="657"/>
      <c r="AS176" s="657"/>
      <c r="AT176" s="657"/>
    </row>
    <row r="177" spans="4:46" ht="26.25" x14ac:dyDescent="0.4">
      <c r="D177" s="646"/>
      <c r="H177" s="657"/>
      <c r="I177" s="657"/>
      <c r="J177" s="657"/>
      <c r="K177" s="657"/>
      <c r="L177" s="657"/>
      <c r="M177" s="657"/>
      <c r="N177" s="657"/>
      <c r="O177" s="657"/>
      <c r="P177" s="657"/>
      <c r="Q177" s="657"/>
      <c r="R177" s="657"/>
      <c r="S177" s="657"/>
      <c r="T177" s="657"/>
      <c r="U177" s="657"/>
      <c r="V177" s="657"/>
      <c r="W177" s="657"/>
      <c r="X177" s="657"/>
      <c r="Y177" s="657"/>
      <c r="Z177" s="657"/>
      <c r="AA177" s="657"/>
      <c r="AB177" s="657"/>
      <c r="AC177" s="657"/>
      <c r="AD177" s="657"/>
      <c r="AE177" s="657"/>
      <c r="AF177" s="657"/>
      <c r="AG177" s="657"/>
      <c r="AH177" s="657"/>
      <c r="AI177" s="657"/>
      <c r="AJ177" s="657"/>
      <c r="AK177" s="657"/>
      <c r="AL177" s="657"/>
      <c r="AM177" s="657"/>
      <c r="AN177" s="657"/>
      <c r="AO177" s="657"/>
      <c r="AP177" s="657"/>
      <c r="AQ177" s="657"/>
      <c r="AR177" s="657"/>
      <c r="AS177" s="657"/>
      <c r="AT177" s="657"/>
    </row>
    <row r="178" spans="4:46" ht="26.25" x14ac:dyDescent="0.4">
      <c r="D178" s="646"/>
      <c r="H178" s="657"/>
      <c r="I178" s="657"/>
      <c r="J178" s="657"/>
      <c r="K178" s="657"/>
      <c r="L178" s="657"/>
      <c r="M178" s="657"/>
      <c r="N178" s="657"/>
      <c r="O178" s="657"/>
      <c r="P178" s="657"/>
      <c r="Q178" s="657"/>
      <c r="R178" s="657"/>
      <c r="S178" s="657"/>
      <c r="T178" s="657"/>
      <c r="U178" s="657"/>
      <c r="V178" s="657"/>
      <c r="W178" s="657"/>
      <c r="X178" s="657"/>
      <c r="Y178" s="657"/>
      <c r="Z178" s="657"/>
      <c r="AA178" s="657"/>
      <c r="AB178" s="657"/>
      <c r="AC178" s="657"/>
      <c r="AD178" s="657"/>
      <c r="AE178" s="657"/>
      <c r="AF178" s="657"/>
      <c r="AG178" s="657"/>
      <c r="AH178" s="657"/>
      <c r="AI178" s="657"/>
      <c r="AJ178" s="657"/>
      <c r="AK178" s="657"/>
      <c r="AL178" s="657"/>
      <c r="AM178" s="657"/>
      <c r="AN178" s="657"/>
      <c r="AO178" s="657"/>
      <c r="AP178" s="657"/>
      <c r="AQ178" s="657"/>
      <c r="AR178" s="657"/>
      <c r="AS178" s="657"/>
      <c r="AT178" s="657"/>
    </row>
    <row r="179" spans="4:46" ht="26.25" x14ac:dyDescent="0.4">
      <c r="D179" s="646"/>
      <c r="H179" s="657"/>
      <c r="I179" s="657"/>
      <c r="J179" s="657"/>
      <c r="K179" s="657"/>
      <c r="L179" s="657"/>
      <c r="M179" s="657"/>
      <c r="N179" s="657"/>
      <c r="O179" s="657"/>
      <c r="P179" s="657"/>
      <c r="Q179" s="657"/>
      <c r="R179" s="657"/>
      <c r="S179" s="657"/>
      <c r="T179" s="657"/>
      <c r="U179" s="657"/>
      <c r="V179" s="657"/>
      <c r="W179" s="657"/>
      <c r="X179" s="657"/>
      <c r="Y179" s="657"/>
      <c r="Z179" s="657"/>
      <c r="AA179" s="657"/>
      <c r="AB179" s="657"/>
      <c r="AC179" s="657"/>
      <c r="AD179" s="657"/>
      <c r="AE179" s="657"/>
      <c r="AF179" s="657"/>
      <c r="AG179" s="657"/>
      <c r="AH179" s="657"/>
      <c r="AI179" s="657"/>
      <c r="AJ179" s="657"/>
      <c r="AK179" s="657"/>
      <c r="AL179" s="657"/>
      <c r="AM179" s="657"/>
      <c r="AN179" s="657"/>
      <c r="AO179" s="657"/>
      <c r="AP179" s="657"/>
      <c r="AQ179" s="657"/>
      <c r="AR179" s="657"/>
      <c r="AS179" s="657"/>
      <c r="AT179" s="657"/>
    </row>
    <row r="180" spans="4:46" ht="26.25" x14ac:dyDescent="0.4">
      <c r="D180" s="646"/>
      <c r="H180" s="657"/>
      <c r="I180" s="657"/>
      <c r="J180" s="657"/>
      <c r="K180" s="657"/>
      <c r="L180" s="657"/>
      <c r="M180" s="657"/>
      <c r="N180" s="657"/>
      <c r="O180" s="657"/>
      <c r="P180" s="657"/>
      <c r="Q180" s="657"/>
      <c r="R180" s="657"/>
      <c r="S180" s="657"/>
      <c r="T180" s="657"/>
      <c r="U180" s="657"/>
      <c r="V180" s="657"/>
      <c r="W180" s="657"/>
      <c r="X180" s="657"/>
      <c r="Y180" s="657"/>
      <c r="Z180" s="657"/>
      <c r="AA180" s="657"/>
      <c r="AB180" s="657"/>
      <c r="AC180" s="657"/>
      <c r="AD180" s="657"/>
      <c r="AE180" s="657"/>
      <c r="AF180" s="657"/>
      <c r="AG180" s="657"/>
      <c r="AH180" s="657"/>
      <c r="AI180" s="657"/>
      <c r="AJ180" s="657"/>
      <c r="AK180" s="657"/>
      <c r="AL180" s="657"/>
      <c r="AM180" s="657"/>
      <c r="AN180" s="657"/>
      <c r="AO180" s="657"/>
      <c r="AP180" s="657"/>
      <c r="AQ180" s="657"/>
      <c r="AR180" s="657"/>
      <c r="AS180" s="657"/>
      <c r="AT180" s="657"/>
    </row>
    <row r="181" spans="4:46" ht="26.25" x14ac:dyDescent="0.4">
      <c r="D181" s="646"/>
      <c r="H181" s="657"/>
      <c r="I181" s="657"/>
      <c r="J181" s="657"/>
      <c r="K181" s="657"/>
      <c r="L181" s="657"/>
      <c r="M181" s="657"/>
      <c r="N181" s="657"/>
      <c r="O181" s="657"/>
      <c r="P181" s="657"/>
      <c r="Q181" s="657"/>
      <c r="R181" s="657"/>
      <c r="S181" s="657"/>
      <c r="T181" s="657"/>
      <c r="U181" s="657"/>
      <c r="V181" s="657"/>
      <c r="W181" s="657"/>
      <c r="X181" s="657"/>
      <c r="Y181" s="657"/>
      <c r="Z181" s="657"/>
      <c r="AA181" s="657"/>
      <c r="AB181" s="657"/>
      <c r="AC181" s="657"/>
      <c r="AD181" s="657"/>
      <c r="AE181" s="657"/>
      <c r="AF181" s="657"/>
      <c r="AG181" s="657"/>
      <c r="AH181" s="657"/>
      <c r="AI181" s="657"/>
      <c r="AJ181" s="657"/>
      <c r="AK181" s="657"/>
      <c r="AL181" s="657"/>
      <c r="AM181" s="657"/>
      <c r="AN181" s="657"/>
      <c r="AO181" s="657"/>
      <c r="AP181" s="657"/>
      <c r="AQ181" s="657"/>
      <c r="AR181" s="657"/>
      <c r="AS181" s="657"/>
      <c r="AT181" s="657"/>
    </row>
    <row r="182" spans="4:46" ht="26.25" x14ac:dyDescent="0.4">
      <c r="D182" s="646"/>
      <c r="H182" s="657"/>
      <c r="I182" s="657"/>
      <c r="J182" s="657"/>
      <c r="K182" s="657"/>
      <c r="L182" s="657"/>
      <c r="M182" s="657"/>
      <c r="N182" s="657"/>
      <c r="O182" s="657"/>
      <c r="P182" s="657"/>
      <c r="Q182" s="657"/>
      <c r="R182" s="657"/>
      <c r="S182" s="657"/>
      <c r="T182" s="657"/>
      <c r="U182" s="657"/>
      <c r="V182" s="657"/>
      <c r="W182" s="657"/>
      <c r="X182" s="657"/>
      <c r="Y182" s="657"/>
      <c r="Z182" s="657"/>
      <c r="AA182" s="657"/>
      <c r="AB182" s="657"/>
      <c r="AC182" s="657"/>
      <c r="AD182" s="657"/>
      <c r="AE182" s="657"/>
      <c r="AF182" s="657"/>
      <c r="AG182" s="657"/>
      <c r="AH182" s="657"/>
      <c r="AI182" s="657"/>
      <c r="AJ182" s="657"/>
      <c r="AK182" s="657"/>
      <c r="AL182" s="657"/>
      <c r="AM182" s="657"/>
      <c r="AN182" s="657"/>
      <c r="AO182" s="657"/>
      <c r="AP182" s="657"/>
      <c r="AQ182" s="657"/>
      <c r="AR182" s="657"/>
      <c r="AS182" s="657"/>
      <c r="AT182" s="657"/>
    </row>
    <row r="183" spans="4:46" ht="26.25" x14ac:dyDescent="0.4">
      <c r="D183" s="646"/>
      <c r="H183" s="657"/>
      <c r="I183" s="657"/>
      <c r="J183" s="657"/>
      <c r="K183" s="657"/>
      <c r="L183" s="657"/>
      <c r="M183" s="657"/>
      <c r="N183" s="657"/>
      <c r="O183" s="657"/>
      <c r="P183" s="657"/>
      <c r="Q183" s="657"/>
      <c r="R183" s="657"/>
      <c r="S183" s="657"/>
      <c r="T183" s="657"/>
      <c r="U183" s="657"/>
      <c r="V183" s="657"/>
      <c r="W183" s="657"/>
      <c r="X183" s="657"/>
      <c r="Y183" s="657"/>
      <c r="Z183" s="657"/>
      <c r="AA183" s="657"/>
      <c r="AB183" s="657"/>
      <c r="AC183" s="657"/>
      <c r="AD183" s="657"/>
      <c r="AE183" s="657"/>
      <c r="AF183" s="657"/>
      <c r="AG183" s="657"/>
      <c r="AH183" s="657"/>
      <c r="AI183" s="657"/>
      <c r="AJ183" s="657"/>
      <c r="AK183" s="657"/>
      <c r="AL183" s="657"/>
      <c r="AM183" s="657"/>
      <c r="AN183" s="657"/>
      <c r="AO183" s="657"/>
      <c r="AP183" s="657"/>
      <c r="AQ183" s="657"/>
      <c r="AR183" s="657"/>
      <c r="AS183" s="657"/>
      <c r="AT183" s="657"/>
    </row>
    <row r="184" spans="4:46" ht="26.25" x14ac:dyDescent="0.4">
      <c r="D184" s="646"/>
      <c r="H184" s="657"/>
      <c r="I184" s="657"/>
      <c r="J184" s="657"/>
      <c r="K184" s="657"/>
      <c r="L184" s="657"/>
      <c r="M184" s="657"/>
      <c r="N184" s="657"/>
      <c r="O184" s="657"/>
      <c r="P184" s="657"/>
      <c r="Q184" s="657"/>
      <c r="R184" s="657"/>
      <c r="S184" s="657"/>
      <c r="T184" s="657"/>
      <c r="U184" s="657"/>
      <c r="V184" s="657"/>
      <c r="W184" s="657"/>
      <c r="X184" s="657"/>
      <c r="Y184" s="657"/>
      <c r="Z184" s="657"/>
      <c r="AA184" s="657"/>
      <c r="AB184" s="657"/>
      <c r="AC184" s="657"/>
      <c r="AD184" s="657"/>
      <c r="AE184" s="657"/>
      <c r="AF184" s="657"/>
      <c r="AG184" s="657"/>
      <c r="AH184" s="657"/>
      <c r="AI184" s="657"/>
      <c r="AJ184" s="657"/>
      <c r="AK184" s="657"/>
      <c r="AL184" s="657"/>
      <c r="AM184" s="657"/>
      <c r="AN184" s="657"/>
      <c r="AO184" s="657"/>
      <c r="AP184" s="657"/>
      <c r="AQ184" s="657"/>
      <c r="AR184" s="657"/>
      <c r="AS184" s="657"/>
      <c r="AT184" s="657"/>
    </row>
    <row r="185" spans="4:46" ht="26.25" x14ac:dyDescent="0.4">
      <c r="D185" s="646"/>
      <c r="H185" s="657"/>
      <c r="I185" s="657"/>
      <c r="J185" s="657"/>
      <c r="K185" s="657"/>
      <c r="L185" s="657"/>
      <c r="M185" s="657"/>
      <c r="N185" s="657"/>
      <c r="O185" s="657"/>
      <c r="P185" s="657"/>
      <c r="Q185" s="657"/>
      <c r="R185" s="657"/>
      <c r="S185" s="657"/>
      <c r="T185" s="657"/>
      <c r="U185" s="657"/>
      <c r="V185" s="657"/>
      <c r="W185" s="657"/>
      <c r="X185" s="657"/>
      <c r="Y185" s="657"/>
      <c r="Z185" s="657"/>
      <c r="AA185" s="657"/>
      <c r="AB185" s="657"/>
      <c r="AC185" s="657"/>
      <c r="AD185" s="657"/>
      <c r="AE185" s="657"/>
      <c r="AF185" s="657"/>
      <c r="AG185" s="657"/>
      <c r="AH185" s="657"/>
      <c r="AI185" s="657"/>
      <c r="AJ185" s="657"/>
      <c r="AK185" s="657"/>
      <c r="AL185" s="657"/>
      <c r="AM185" s="657"/>
      <c r="AN185" s="657"/>
      <c r="AO185" s="657"/>
      <c r="AP185" s="657"/>
      <c r="AQ185" s="657"/>
      <c r="AR185" s="657"/>
      <c r="AS185" s="657"/>
      <c r="AT185" s="657"/>
    </row>
    <row r="186" spans="4:46" ht="26.25" x14ac:dyDescent="0.4">
      <c r="D186" s="646"/>
      <c r="H186" s="657"/>
      <c r="I186" s="657"/>
      <c r="J186" s="657"/>
      <c r="K186" s="657"/>
      <c r="L186" s="657"/>
      <c r="M186" s="657"/>
      <c r="N186" s="657"/>
      <c r="O186" s="657"/>
      <c r="P186" s="657"/>
      <c r="Q186" s="657"/>
      <c r="R186" s="657"/>
      <c r="S186" s="657"/>
      <c r="T186" s="657"/>
      <c r="U186" s="657"/>
      <c r="V186" s="657"/>
      <c r="W186" s="657"/>
      <c r="X186" s="657"/>
      <c r="Y186" s="657"/>
      <c r="Z186" s="657"/>
      <c r="AA186" s="657"/>
      <c r="AB186" s="657"/>
      <c r="AC186" s="657"/>
      <c r="AD186" s="657"/>
      <c r="AE186" s="657"/>
      <c r="AF186" s="657"/>
      <c r="AG186" s="657"/>
      <c r="AH186" s="657"/>
      <c r="AI186" s="657"/>
      <c r="AJ186" s="657"/>
      <c r="AK186" s="657"/>
      <c r="AL186" s="657"/>
      <c r="AM186" s="657"/>
      <c r="AN186" s="657"/>
      <c r="AO186" s="657"/>
      <c r="AP186" s="657"/>
      <c r="AQ186" s="657"/>
      <c r="AR186" s="657"/>
      <c r="AS186" s="657"/>
      <c r="AT186" s="657"/>
    </row>
    <row r="187" spans="4:46" ht="26.25" x14ac:dyDescent="0.4">
      <c r="D187" s="646"/>
      <c r="H187" s="657"/>
      <c r="I187" s="657"/>
      <c r="J187" s="657"/>
      <c r="K187" s="657"/>
      <c r="L187" s="657"/>
      <c r="M187" s="657"/>
      <c r="N187" s="657"/>
      <c r="O187" s="657"/>
      <c r="P187" s="657"/>
      <c r="Q187" s="657"/>
      <c r="R187" s="657"/>
      <c r="S187" s="657"/>
      <c r="T187" s="657"/>
      <c r="U187" s="657"/>
      <c r="V187" s="657"/>
      <c r="W187" s="657"/>
      <c r="X187" s="657"/>
      <c r="Y187" s="657"/>
      <c r="Z187" s="657"/>
      <c r="AA187" s="657"/>
      <c r="AB187" s="657"/>
      <c r="AC187" s="657"/>
      <c r="AD187" s="657"/>
      <c r="AE187" s="657"/>
      <c r="AF187" s="657"/>
      <c r="AG187" s="657"/>
      <c r="AH187" s="657"/>
      <c r="AI187" s="657"/>
      <c r="AJ187" s="657"/>
      <c r="AK187" s="657"/>
      <c r="AL187" s="657"/>
      <c r="AM187" s="657"/>
      <c r="AN187" s="657"/>
      <c r="AO187" s="657"/>
      <c r="AP187" s="657"/>
      <c r="AQ187" s="657"/>
      <c r="AR187" s="657"/>
      <c r="AS187" s="657"/>
      <c r="AT187" s="657"/>
    </row>
    <row r="188" spans="4:46" ht="26.25" x14ac:dyDescent="0.4">
      <c r="D188" s="646"/>
      <c r="H188" s="657"/>
      <c r="I188" s="657"/>
      <c r="J188" s="657"/>
      <c r="K188" s="657"/>
      <c r="L188" s="657"/>
      <c r="M188" s="657"/>
      <c r="N188" s="657"/>
      <c r="O188" s="657"/>
      <c r="P188" s="657"/>
      <c r="Q188" s="657"/>
      <c r="R188" s="657"/>
      <c r="S188" s="657"/>
      <c r="T188" s="657"/>
      <c r="U188" s="657"/>
      <c r="V188" s="657"/>
      <c r="W188" s="657"/>
      <c r="X188" s="657"/>
      <c r="Y188" s="657"/>
      <c r="Z188" s="657"/>
      <c r="AA188" s="657"/>
      <c r="AB188" s="657"/>
      <c r="AC188" s="657"/>
      <c r="AD188" s="657"/>
      <c r="AE188" s="657"/>
      <c r="AF188" s="657"/>
      <c r="AG188" s="657"/>
      <c r="AH188" s="657"/>
      <c r="AI188" s="657"/>
      <c r="AJ188" s="657"/>
      <c r="AK188" s="657"/>
      <c r="AL188" s="657"/>
      <c r="AM188" s="657"/>
      <c r="AN188" s="657"/>
      <c r="AO188" s="657"/>
      <c r="AP188" s="657"/>
      <c r="AQ188" s="657"/>
      <c r="AR188" s="657"/>
      <c r="AS188" s="657"/>
      <c r="AT188" s="657"/>
    </row>
    <row r="189" spans="4:46" ht="26.25" x14ac:dyDescent="0.4">
      <c r="D189" s="646"/>
      <c r="H189" s="657"/>
      <c r="I189" s="657"/>
      <c r="J189" s="657"/>
      <c r="K189" s="657"/>
      <c r="L189" s="657"/>
      <c r="M189" s="657"/>
      <c r="N189" s="657"/>
      <c r="O189" s="657"/>
      <c r="P189" s="657"/>
      <c r="Q189" s="657"/>
      <c r="R189" s="657"/>
      <c r="S189" s="657"/>
      <c r="T189" s="657"/>
      <c r="U189" s="657"/>
      <c r="V189" s="657"/>
      <c r="W189" s="657"/>
      <c r="X189" s="657"/>
      <c r="Y189" s="657"/>
      <c r="Z189" s="657"/>
      <c r="AA189" s="657"/>
      <c r="AB189" s="657"/>
      <c r="AC189" s="657"/>
      <c r="AD189" s="657"/>
      <c r="AE189" s="657"/>
      <c r="AF189" s="657"/>
      <c r="AG189" s="657"/>
      <c r="AH189" s="657"/>
      <c r="AI189" s="657"/>
      <c r="AJ189" s="657"/>
      <c r="AK189" s="657"/>
      <c r="AL189" s="657"/>
      <c r="AM189" s="657"/>
      <c r="AN189" s="657"/>
      <c r="AO189" s="657"/>
      <c r="AP189" s="657"/>
      <c r="AQ189" s="657"/>
      <c r="AR189" s="657"/>
      <c r="AS189" s="657"/>
      <c r="AT189" s="657"/>
    </row>
    <row r="190" spans="4:46" ht="26.25" x14ac:dyDescent="0.4">
      <c r="D190" s="646"/>
      <c r="H190" s="657"/>
      <c r="I190" s="657"/>
      <c r="J190" s="657"/>
      <c r="K190" s="657"/>
      <c r="L190" s="657"/>
      <c r="M190" s="657"/>
      <c r="N190" s="657"/>
      <c r="O190" s="657"/>
      <c r="P190" s="657"/>
      <c r="Q190" s="657"/>
      <c r="R190" s="657"/>
      <c r="S190" s="657"/>
      <c r="T190" s="657"/>
      <c r="U190" s="657"/>
      <c r="V190" s="657"/>
      <c r="W190" s="657"/>
      <c r="X190" s="657"/>
      <c r="Y190" s="657"/>
      <c r="Z190" s="657"/>
      <c r="AA190" s="657"/>
      <c r="AB190" s="657"/>
      <c r="AC190" s="657"/>
      <c r="AD190" s="657"/>
      <c r="AE190" s="657"/>
      <c r="AF190" s="657"/>
      <c r="AG190" s="657"/>
      <c r="AH190" s="657"/>
      <c r="AI190" s="657"/>
      <c r="AJ190" s="657"/>
      <c r="AK190" s="657"/>
      <c r="AL190" s="657"/>
      <c r="AM190" s="657"/>
      <c r="AN190" s="657"/>
      <c r="AO190" s="657"/>
      <c r="AP190" s="657"/>
      <c r="AQ190" s="657"/>
      <c r="AR190" s="657"/>
      <c r="AS190" s="657"/>
      <c r="AT190" s="657"/>
    </row>
    <row r="191" spans="4:46" ht="26.25" x14ac:dyDescent="0.4">
      <c r="D191" s="646"/>
      <c r="H191" s="657"/>
      <c r="I191" s="657"/>
      <c r="J191" s="657"/>
      <c r="K191" s="657"/>
      <c r="L191" s="657"/>
      <c r="M191" s="657"/>
      <c r="N191" s="657"/>
      <c r="O191" s="657"/>
      <c r="P191" s="657"/>
      <c r="Q191" s="657"/>
      <c r="R191" s="657"/>
      <c r="S191" s="657"/>
      <c r="T191" s="657"/>
      <c r="U191" s="657"/>
      <c r="V191" s="657"/>
      <c r="W191" s="657"/>
      <c r="X191" s="657"/>
      <c r="Y191" s="657"/>
      <c r="Z191" s="657"/>
      <c r="AA191" s="657"/>
      <c r="AB191" s="657"/>
      <c r="AC191" s="657"/>
      <c r="AD191" s="657"/>
      <c r="AE191" s="657"/>
      <c r="AF191" s="657"/>
      <c r="AG191" s="657"/>
      <c r="AH191" s="657"/>
      <c r="AI191" s="657"/>
      <c r="AJ191" s="657"/>
      <c r="AK191" s="657"/>
      <c r="AL191" s="657"/>
      <c r="AM191" s="657"/>
      <c r="AN191" s="657"/>
      <c r="AO191" s="657"/>
      <c r="AP191" s="657"/>
      <c r="AQ191" s="657"/>
      <c r="AR191" s="657"/>
      <c r="AS191" s="657"/>
      <c r="AT191" s="657"/>
    </row>
    <row r="192" spans="4:46" ht="26.25" x14ac:dyDescent="0.4">
      <c r="D192" s="646"/>
      <c r="H192" s="657"/>
      <c r="I192" s="657"/>
      <c r="J192" s="657"/>
      <c r="K192" s="657"/>
      <c r="L192" s="657"/>
      <c r="M192" s="657"/>
      <c r="N192" s="657"/>
      <c r="O192" s="657"/>
      <c r="P192" s="657"/>
      <c r="Q192" s="657"/>
      <c r="R192" s="657"/>
      <c r="S192" s="657"/>
      <c r="T192" s="657"/>
      <c r="U192" s="657"/>
      <c r="V192" s="657"/>
      <c r="W192" s="657"/>
      <c r="X192" s="657"/>
      <c r="Y192" s="657"/>
      <c r="Z192" s="657"/>
      <c r="AA192" s="657"/>
      <c r="AB192" s="657"/>
      <c r="AC192" s="657"/>
      <c r="AD192" s="657"/>
      <c r="AE192" s="657"/>
      <c r="AF192" s="657"/>
      <c r="AG192" s="657"/>
      <c r="AH192" s="657"/>
      <c r="AI192" s="657"/>
      <c r="AJ192" s="657"/>
      <c r="AK192" s="657"/>
      <c r="AL192" s="657"/>
      <c r="AM192" s="657"/>
      <c r="AN192" s="657"/>
      <c r="AO192" s="657"/>
      <c r="AP192" s="657"/>
      <c r="AQ192" s="657"/>
      <c r="AR192" s="657"/>
      <c r="AS192" s="657"/>
      <c r="AT192" s="657"/>
    </row>
    <row r="193" spans="4:46" ht="26.25" x14ac:dyDescent="0.4">
      <c r="D193" s="646"/>
      <c r="H193" s="657"/>
      <c r="I193" s="657"/>
      <c r="J193" s="657"/>
      <c r="K193" s="657"/>
      <c r="L193" s="657"/>
      <c r="M193" s="657"/>
      <c r="N193" s="657"/>
      <c r="O193" s="657"/>
      <c r="P193" s="657"/>
      <c r="Q193" s="657"/>
      <c r="R193" s="657"/>
      <c r="S193" s="657"/>
      <c r="T193" s="657"/>
      <c r="U193" s="657"/>
      <c r="V193" s="657"/>
      <c r="W193" s="657"/>
      <c r="X193" s="657"/>
      <c r="Y193" s="657"/>
      <c r="Z193" s="657"/>
      <c r="AA193" s="657"/>
      <c r="AB193" s="657"/>
      <c r="AC193" s="657"/>
      <c r="AD193" s="657"/>
      <c r="AE193" s="657"/>
      <c r="AF193" s="657"/>
      <c r="AG193" s="657"/>
      <c r="AH193" s="657"/>
      <c r="AI193" s="657"/>
      <c r="AJ193" s="657"/>
      <c r="AK193" s="657"/>
      <c r="AL193" s="657"/>
      <c r="AM193" s="657"/>
      <c r="AN193" s="657"/>
      <c r="AO193" s="657"/>
      <c r="AP193" s="657"/>
      <c r="AQ193" s="657"/>
      <c r="AR193" s="657"/>
      <c r="AS193" s="657"/>
      <c r="AT193" s="657"/>
    </row>
    <row r="194" spans="4:46" ht="26.25" x14ac:dyDescent="0.4">
      <c r="D194" s="646"/>
      <c r="H194" s="657"/>
      <c r="I194" s="657"/>
      <c r="J194" s="657"/>
      <c r="K194" s="657"/>
      <c r="L194" s="657"/>
      <c r="M194" s="657"/>
      <c r="N194" s="657"/>
      <c r="O194" s="657"/>
      <c r="P194" s="657"/>
      <c r="Q194" s="657"/>
      <c r="R194" s="657"/>
      <c r="S194" s="657"/>
      <c r="T194" s="657"/>
      <c r="U194" s="657"/>
      <c r="V194" s="657"/>
      <c r="W194" s="657"/>
      <c r="X194" s="657"/>
      <c r="Y194" s="657"/>
      <c r="Z194" s="657"/>
      <c r="AA194" s="657"/>
      <c r="AB194" s="657"/>
      <c r="AC194" s="657"/>
      <c r="AD194" s="657"/>
      <c r="AE194" s="657"/>
      <c r="AF194" s="657"/>
      <c r="AG194" s="657"/>
      <c r="AH194" s="657"/>
      <c r="AI194" s="657"/>
      <c r="AJ194" s="657"/>
      <c r="AK194" s="657"/>
      <c r="AL194" s="657"/>
      <c r="AM194" s="657"/>
      <c r="AN194" s="657"/>
      <c r="AO194" s="657"/>
      <c r="AP194" s="657"/>
      <c r="AQ194" s="657"/>
      <c r="AR194" s="657"/>
      <c r="AS194" s="657"/>
      <c r="AT194" s="657"/>
    </row>
    <row r="195" spans="4:46" ht="26.25" x14ac:dyDescent="0.4">
      <c r="D195" s="646"/>
      <c r="H195" s="657"/>
      <c r="I195" s="657"/>
      <c r="J195" s="657"/>
      <c r="K195" s="657"/>
      <c r="L195" s="657"/>
      <c r="M195" s="657"/>
      <c r="N195" s="657"/>
      <c r="O195" s="657"/>
      <c r="P195" s="657"/>
      <c r="Q195" s="657"/>
      <c r="R195" s="657"/>
      <c r="S195" s="657"/>
      <c r="T195" s="657"/>
      <c r="U195" s="657"/>
      <c r="V195" s="657"/>
      <c r="W195" s="657"/>
      <c r="X195" s="657"/>
      <c r="Y195" s="657"/>
      <c r="Z195" s="657"/>
      <c r="AA195" s="657"/>
      <c r="AB195" s="657"/>
      <c r="AC195" s="657"/>
      <c r="AD195" s="657"/>
      <c r="AE195" s="657"/>
      <c r="AF195" s="657"/>
      <c r="AG195" s="657"/>
      <c r="AH195" s="657"/>
      <c r="AI195" s="657"/>
      <c r="AJ195" s="657"/>
      <c r="AK195" s="657"/>
      <c r="AL195" s="657"/>
      <c r="AM195" s="657"/>
      <c r="AN195" s="657"/>
      <c r="AO195" s="657"/>
      <c r="AP195" s="657"/>
      <c r="AQ195" s="657"/>
      <c r="AR195" s="657"/>
      <c r="AS195" s="657"/>
      <c r="AT195" s="657"/>
    </row>
    <row r="196" spans="4:46" ht="26.25" x14ac:dyDescent="0.4">
      <c r="D196" s="646"/>
    </row>
    <row r="197" spans="4:46" ht="26.25" x14ac:dyDescent="0.4">
      <c r="D197" s="646"/>
    </row>
    <row r="198" spans="4:46" ht="26.25" x14ac:dyDescent="0.4">
      <c r="D198" s="646"/>
    </row>
    <row r="199" spans="4:46" ht="26.25" x14ac:dyDescent="0.4">
      <c r="D199" s="646"/>
    </row>
    <row r="200" spans="4:46" ht="26.25" x14ac:dyDescent="0.4">
      <c r="D200" s="646"/>
    </row>
    <row r="201" spans="4:46" ht="26.25" x14ac:dyDescent="0.4">
      <c r="D201" s="646"/>
    </row>
    <row r="202" spans="4:46" ht="26.25" x14ac:dyDescent="0.4">
      <c r="D202" s="646"/>
    </row>
    <row r="203" spans="4:46" ht="26.25" x14ac:dyDescent="0.4">
      <c r="D203" s="646"/>
    </row>
    <row r="204" spans="4:46" ht="26.25" x14ac:dyDescent="0.4">
      <c r="D204" s="646"/>
    </row>
    <row r="205" spans="4:46" ht="26.25" x14ac:dyDescent="0.4">
      <c r="D205" s="646"/>
    </row>
    <row r="206" spans="4:46" ht="26.25" x14ac:dyDescent="0.4">
      <c r="D206" s="646"/>
      <c r="F206" s="644" t="s">
        <v>791</v>
      </c>
    </row>
    <row r="207" spans="4:46" ht="26.25" x14ac:dyDescent="0.4">
      <c r="D207" s="646"/>
    </row>
    <row r="208" spans="4:46" ht="25.9" customHeight="1" x14ac:dyDescent="0.4">
      <c r="D208" s="646"/>
      <c r="G208" s="772" t="s">
        <v>903</v>
      </c>
      <c r="H208" s="772"/>
      <c r="I208" s="772"/>
      <c r="J208" s="772"/>
      <c r="K208" s="772"/>
      <c r="L208" s="772"/>
      <c r="M208" s="772"/>
      <c r="N208" s="772"/>
      <c r="O208" s="772"/>
      <c r="P208" s="772"/>
      <c r="Q208" s="772"/>
      <c r="R208" s="772"/>
      <c r="S208" s="772"/>
      <c r="T208" s="772"/>
      <c r="U208" s="772"/>
      <c r="V208" s="772"/>
      <c r="W208" s="772"/>
      <c r="X208" s="772"/>
      <c r="Y208" s="772"/>
      <c r="Z208" s="772"/>
      <c r="AA208" s="772"/>
      <c r="AB208" s="772"/>
      <c r="AC208" s="772"/>
      <c r="AD208" s="772"/>
      <c r="AE208" s="772"/>
      <c r="AF208" s="772"/>
      <c r="AG208" s="772"/>
      <c r="AH208" s="772"/>
      <c r="AI208" s="772"/>
      <c r="AJ208" s="659"/>
      <c r="AK208" s="659"/>
      <c r="AL208" s="659"/>
      <c r="AM208" s="659"/>
    </row>
    <row r="209" spans="4:39" ht="26.25" x14ac:dyDescent="0.4">
      <c r="D209" s="646"/>
      <c r="G209" s="772"/>
      <c r="H209" s="772"/>
      <c r="I209" s="772"/>
      <c r="J209" s="772"/>
      <c r="K209" s="772"/>
      <c r="L209" s="772"/>
      <c r="M209" s="772"/>
      <c r="N209" s="772"/>
      <c r="O209" s="772"/>
      <c r="P209" s="772"/>
      <c r="Q209" s="772"/>
      <c r="R209" s="772"/>
      <c r="S209" s="772"/>
      <c r="T209" s="772"/>
      <c r="U209" s="772"/>
      <c r="V209" s="772"/>
      <c r="W209" s="772"/>
      <c r="X209" s="772"/>
      <c r="Y209" s="772"/>
      <c r="Z209" s="772"/>
      <c r="AA209" s="772"/>
      <c r="AB209" s="772"/>
      <c r="AC209" s="772"/>
      <c r="AD209" s="772"/>
      <c r="AE209" s="772"/>
      <c r="AF209" s="772"/>
      <c r="AG209" s="772"/>
      <c r="AH209" s="772"/>
      <c r="AI209" s="772"/>
      <c r="AJ209" s="659"/>
      <c r="AK209" s="659"/>
      <c r="AL209" s="659"/>
      <c r="AM209" s="659"/>
    </row>
    <row r="210" spans="4:39" ht="26.25" x14ac:dyDescent="0.4">
      <c r="D210" s="646"/>
      <c r="G210" s="635"/>
      <c r="H210" s="635"/>
      <c r="I210" s="635"/>
      <c r="J210" s="635"/>
      <c r="K210" s="635"/>
      <c r="L210" s="635"/>
      <c r="M210" s="635"/>
      <c r="N210" s="635"/>
      <c r="O210" s="635"/>
      <c r="P210" s="635"/>
      <c r="Q210" s="635"/>
      <c r="R210" s="635"/>
      <c r="S210" s="635"/>
      <c r="T210" s="635"/>
      <c r="U210" s="635"/>
      <c r="V210" s="635"/>
      <c r="W210" s="635"/>
      <c r="X210" s="635"/>
      <c r="Y210" s="635"/>
      <c r="Z210" s="635"/>
      <c r="AA210" s="635"/>
      <c r="AB210" s="635"/>
      <c r="AC210" s="635"/>
      <c r="AD210" s="635"/>
      <c r="AE210" s="635"/>
      <c r="AF210" s="635"/>
      <c r="AG210" s="635"/>
      <c r="AH210" s="635"/>
      <c r="AI210" s="635"/>
      <c r="AJ210" s="635"/>
      <c r="AK210" s="635"/>
      <c r="AL210" s="635"/>
      <c r="AM210" s="635"/>
    </row>
    <row r="211" spans="4:39" ht="26.25" x14ac:dyDescent="0.4">
      <c r="D211" s="646"/>
      <c r="G211" s="826" t="s">
        <v>912</v>
      </c>
      <c r="H211" s="826"/>
      <c r="I211" s="826"/>
      <c r="J211" s="826"/>
      <c r="K211" s="826"/>
      <c r="L211" s="826"/>
      <c r="M211" s="826"/>
      <c r="N211" s="826"/>
      <c r="O211" s="826"/>
      <c r="P211" s="830">
        <v>110</v>
      </c>
      <c r="Q211" s="830"/>
      <c r="R211" s="830"/>
      <c r="S211" s="830"/>
      <c r="T211" s="830"/>
      <c r="U211" s="830"/>
      <c r="V211" s="830"/>
      <c r="W211" s="830"/>
      <c r="X211" s="830"/>
    </row>
    <row r="212" spans="4:39" ht="26.25" x14ac:dyDescent="0.4">
      <c r="D212" s="646"/>
      <c r="G212" s="826" t="s">
        <v>913</v>
      </c>
      <c r="H212" s="826"/>
      <c r="I212" s="826"/>
      <c r="J212" s="826"/>
      <c r="K212" s="826"/>
      <c r="L212" s="826"/>
      <c r="M212" s="826"/>
      <c r="N212" s="826"/>
      <c r="O212" s="826"/>
      <c r="P212" s="830">
        <v>2</v>
      </c>
      <c r="Q212" s="830"/>
      <c r="R212" s="830"/>
      <c r="S212" s="830"/>
      <c r="T212" s="830"/>
      <c r="U212" s="830"/>
      <c r="V212" s="830"/>
      <c r="W212" s="830"/>
      <c r="X212" s="830"/>
    </row>
    <row r="213" spans="4:39" ht="26.25" x14ac:dyDescent="0.4">
      <c r="D213" s="646"/>
      <c r="G213" s="826" t="s">
        <v>914</v>
      </c>
      <c r="H213" s="826"/>
      <c r="I213" s="826"/>
      <c r="J213" s="826"/>
      <c r="K213" s="826"/>
      <c r="L213" s="826"/>
      <c r="M213" s="826"/>
      <c r="N213" s="826"/>
      <c r="O213" s="826"/>
      <c r="P213" s="830">
        <v>4</v>
      </c>
      <c r="Q213" s="830"/>
      <c r="R213" s="830"/>
      <c r="S213" s="830"/>
      <c r="T213" s="830"/>
      <c r="U213" s="830"/>
      <c r="V213" s="830"/>
      <c r="W213" s="830"/>
      <c r="X213" s="830"/>
    </row>
    <row r="214" spans="4:39" ht="25.9" customHeight="1" x14ac:dyDescent="0.4">
      <c r="D214" s="646"/>
      <c r="G214" s="826" t="s">
        <v>899</v>
      </c>
      <c r="H214" s="826"/>
      <c r="I214" s="826"/>
      <c r="J214" s="826"/>
      <c r="K214" s="826"/>
      <c r="L214" s="826"/>
      <c r="M214" s="826"/>
      <c r="N214" s="826"/>
      <c r="O214" s="826"/>
      <c r="P214" s="830">
        <f>+ROUNDDOWN(P211/P213/P212,0)</f>
        <v>13</v>
      </c>
      <c r="Q214" s="830"/>
      <c r="R214" s="830"/>
      <c r="S214" s="830"/>
      <c r="T214" s="830"/>
      <c r="U214" s="830"/>
      <c r="V214" s="830"/>
      <c r="W214" s="830"/>
      <c r="X214" s="830"/>
    </row>
    <row r="215" spans="4:39" ht="26.25" x14ac:dyDescent="0.4">
      <c r="D215" s="646"/>
    </row>
    <row r="216" spans="4:39" ht="26.25" x14ac:dyDescent="0.4">
      <c r="D216" s="646"/>
      <c r="G216" s="772" t="s">
        <v>894</v>
      </c>
      <c r="H216" s="772"/>
      <c r="I216" s="772"/>
      <c r="J216" s="772"/>
      <c r="K216" s="772"/>
      <c r="L216" s="772"/>
      <c r="M216" s="772"/>
      <c r="N216" s="772"/>
      <c r="O216" s="772"/>
      <c r="P216" s="772"/>
      <c r="Q216" s="772"/>
      <c r="R216" s="772"/>
      <c r="S216" s="772"/>
      <c r="T216" s="772"/>
      <c r="U216" s="772"/>
      <c r="V216" s="772"/>
      <c r="W216" s="772"/>
      <c r="X216" s="772"/>
      <c r="Y216" s="772"/>
      <c r="Z216" s="772"/>
      <c r="AA216" s="772"/>
      <c r="AB216" s="772"/>
      <c r="AC216" s="772"/>
      <c r="AD216" s="772"/>
      <c r="AE216" s="772"/>
      <c r="AF216" s="772"/>
      <c r="AG216" s="772"/>
      <c r="AH216" s="772"/>
      <c r="AI216" s="772"/>
      <c r="AJ216" s="772"/>
      <c r="AK216" s="772"/>
      <c r="AL216" s="772"/>
      <c r="AM216" s="772"/>
    </row>
    <row r="217" spans="4:39" ht="26.25" x14ac:dyDescent="0.4">
      <c r="D217" s="646"/>
      <c r="G217" s="772"/>
      <c r="H217" s="772"/>
      <c r="I217" s="772"/>
      <c r="J217" s="772"/>
      <c r="K217" s="772"/>
      <c r="L217" s="772"/>
      <c r="M217" s="772"/>
      <c r="N217" s="772"/>
      <c r="O217" s="772"/>
      <c r="P217" s="772"/>
      <c r="Q217" s="772"/>
      <c r="R217" s="772"/>
      <c r="S217" s="772"/>
      <c r="T217" s="772"/>
      <c r="U217" s="772"/>
      <c r="V217" s="772"/>
      <c r="W217" s="772"/>
      <c r="X217" s="772"/>
      <c r="Y217" s="772"/>
      <c r="Z217" s="772"/>
      <c r="AA217" s="772"/>
      <c r="AB217" s="772"/>
      <c r="AC217" s="772"/>
      <c r="AD217" s="772"/>
      <c r="AE217" s="772"/>
      <c r="AF217" s="772"/>
      <c r="AG217" s="772"/>
      <c r="AH217" s="772"/>
      <c r="AI217" s="772"/>
      <c r="AJ217" s="772"/>
      <c r="AK217" s="772"/>
      <c r="AL217" s="772"/>
      <c r="AM217" s="772"/>
    </row>
    <row r="218" spans="4:39" ht="26.25" x14ac:dyDescent="0.4">
      <c r="D218" s="646"/>
    </row>
    <row r="219" spans="4:39" ht="26.25" x14ac:dyDescent="0.4">
      <c r="D219" s="646"/>
      <c r="Q219" s="652"/>
      <c r="R219" s="652"/>
      <c r="S219" s="652"/>
      <c r="T219" s="652"/>
      <c r="U219" s="652"/>
      <c r="V219" s="652"/>
      <c r="W219" s="652"/>
      <c r="X219" s="652"/>
    </row>
    <row r="220" spans="4:39" ht="26.25" x14ac:dyDescent="0.4">
      <c r="D220" s="646"/>
      <c r="Q220" s="652"/>
      <c r="R220" s="652"/>
      <c r="S220" s="652"/>
      <c r="T220" s="652"/>
      <c r="U220" s="652"/>
      <c r="V220" s="652"/>
      <c r="W220" s="652"/>
      <c r="X220" s="652"/>
    </row>
    <row r="221" spans="4:39" ht="26.25" x14ac:dyDescent="0.4">
      <c r="D221" s="646"/>
      <c r="G221" s="772"/>
      <c r="H221" s="772"/>
      <c r="I221" s="772"/>
      <c r="J221" s="772"/>
      <c r="K221" s="772"/>
      <c r="L221" s="772"/>
      <c r="M221" s="772"/>
      <c r="N221" s="772"/>
      <c r="O221" s="772"/>
      <c r="P221" s="772"/>
      <c r="Q221" s="772"/>
      <c r="R221" s="772"/>
      <c r="S221" s="772"/>
      <c r="T221" s="772"/>
      <c r="U221" s="772"/>
      <c r="V221" s="772"/>
      <c r="W221" s="772"/>
      <c r="X221" s="772"/>
      <c r="Y221" s="772"/>
      <c r="Z221" s="772"/>
      <c r="AA221" s="772"/>
      <c r="AB221" s="772"/>
      <c r="AC221" s="772"/>
      <c r="AD221" s="772"/>
      <c r="AE221" s="772"/>
      <c r="AF221" s="772"/>
      <c r="AG221" s="772"/>
      <c r="AH221" s="772"/>
      <c r="AI221" s="772"/>
      <c r="AJ221" s="772"/>
      <c r="AK221" s="772"/>
      <c r="AL221" s="772"/>
      <c r="AM221" s="772"/>
    </row>
    <row r="222" spans="4:39" ht="26.25" x14ac:dyDescent="0.4">
      <c r="D222" s="646"/>
      <c r="G222" s="772"/>
      <c r="H222" s="772"/>
      <c r="I222" s="772"/>
      <c r="J222" s="772"/>
      <c r="K222" s="772"/>
      <c r="L222" s="772"/>
      <c r="M222" s="772"/>
      <c r="N222" s="772"/>
      <c r="O222" s="772"/>
      <c r="P222" s="772"/>
      <c r="Q222" s="772"/>
      <c r="R222" s="772"/>
      <c r="S222" s="772"/>
      <c r="T222" s="772"/>
      <c r="U222" s="772"/>
      <c r="V222" s="772"/>
      <c r="W222" s="772"/>
      <c r="X222" s="772"/>
      <c r="Y222" s="772"/>
      <c r="Z222" s="772"/>
      <c r="AA222" s="772"/>
      <c r="AB222" s="772"/>
      <c r="AC222" s="772"/>
      <c r="AD222" s="772"/>
      <c r="AE222" s="772"/>
      <c r="AF222" s="772"/>
      <c r="AG222" s="772"/>
      <c r="AH222" s="772"/>
      <c r="AI222" s="772"/>
      <c r="AJ222" s="772"/>
      <c r="AK222" s="772"/>
      <c r="AL222" s="772"/>
      <c r="AM222" s="772"/>
    </row>
    <row r="223" spans="4:39" ht="26.25" x14ac:dyDescent="0.4">
      <c r="D223" s="646"/>
      <c r="Q223" s="652"/>
      <c r="R223" s="652"/>
      <c r="S223" s="652"/>
      <c r="T223" s="652"/>
      <c r="U223" s="652"/>
      <c r="V223" s="652"/>
      <c r="W223" s="652"/>
      <c r="X223" s="652"/>
    </row>
    <row r="224" spans="4:39" ht="26.25" x14ac:dyDescent="0.4">
      <c r="D224" s="646"/>
      <c r="Q224" s="652"/>
      <c r="R224" s="652"/>
      <c r="S224" s="652"/>
      <c r="T224" s="652"/>
      <c r="U224" s="652"/>
      <c r="V224" s="652"/>
      <c r="W224" s="652"/>
      <c r="X224" s="652"/>
    </row>
    <row r="225" spans="4:39" ht="26.25" x14ac:dyDescent="0.4">
      <c r="D225" s="646"/>
      <c r="Q225" s="652"/>
      <c r="R225" s="652"/>
      <c r="S225" s="652"/>
      <c r="T225" s="652"/>
      <c r="U225" s="652"/>
      <c r="V225" s="652"/>
      <c r="W225" s="652"/>
      <c r="X225" s="652"/>
    </row>
    <row r="226" spans="4:39" ht="26.25" x14ac:dyDescent="0.4">
      <c r="D226" s="646"/>
      <c r="Q226" s="652"/>
      <c r="R226" s="652"/>
      <c r="S226" s="652"/>
      <c r="T226" s="652"/>
      <c r="U226" s="652"/>
      <c r="V226" s="652"/>
      <c r="W226" s="652"/>
      <c r="X226" s="652"/>
    </row>
    <row r="227" spans="4:39" ht="26.25" x14ac:dyDescent="0.4">
      <c r="D227" s="646"/>
      <c r="Q227" s="652"/>
      <c r="R227" s="652"/>
      <c r="S227" s="652"/>
      <c r="T227" s="652"/>
      <c r="U227" s="652"/>
      <c r="V227" s="652"/>
      <c r="W227" s="652"/>
      <c r="X227" s="652"/>
    </row>
    <row r="228" spans="4:39" ht="26.25" x14ac:dyDescent="0.4">
      <c r="D228" s="646"/>
    </row>
    <row r="229" spans="4:39" ht="26.25" x14ac:dyDescent="0.4">
      <c r="D229" s="646"/>
    </row>
    <row r="230" spans="4:39" ht="26.25" x14ac:dyDescent="0.4">
      <c r="D230" s="646"/>
    </row>
    <row r="231" spans="4:39" ht="26.25" x14ac:dyDescent="0.4">
      <c r="D231" s="646"/>
    </row>
    <row r="232" spans="4:39" ht="26.25" x14ac:dyDescent="0.4">
      <c r="D232" s="646"/>
    </row>
    <row r="233" spans="4:39" ht="26.25" x14ac:dyDescent="0.4">
      <c r="D233" s="646"/>
      <c r="G233" s="827" t="s">
        <v>793</v>
      </c>
      <c r="H233" s="828"/>
      <c r="I233" s="828"/>
      <c r="J233" s="828"/>
      <c r="K233" s="828"/>
      <c r="L233" s="828"/>
      <c r="M233" s="828"/>
      <c r="N233" s="828"/>
      <c r="O233" s="829"/>
      <c r="P233" s="830" t="s">
        <v>794</v>
      </c>
      <c r="Q233" s="830"/>
      <c r="R233" s="830"/>
      <c r="S233" s="830"/>
      <c r="T233" s="830"/>
      <c r="U233" s="830"/>
      <c r="V233" s="830"/>
      <c r="W233" s="830"/>
      <c r="X233" s="830"/>
    </row>
    <row r="234" spans="4:39" ht="26.25" x14ac:dyDescent="0.4">
      <c r="D234" s="646"/>
      <c r="G234" s="827" t="s">
        <v>795</v>
      </c>
      <c r="H234" s="828"/>
      <c r="I234" s="828"/>
      <c r="J234" s="828"/>
      <c r="K234" s="828"/>
      <c r="L234" s="828"/>
      <c r="M234" s="828"/>
      <c r="N234" s="828"/>
      <c r="O234" s="829"/>
      <c r="P234" s="830" t="s">
        <v>796</v>
      </c>
      <c r="Q234" s="830"/>
      <c r="R234" s="830"/>
      <c r="S234" s="830"/>
      <c r="T234" s="830"/>
      <c r="U234" s="830"/>
      <c r="V234" s="830"/>
      <c r="W234" s="830"/>
      <c r="X234" s="830"/>
    </row>
    <row r="235" spans="4:39" ht="26.25" x14ac:dyDescent="0.4">
      <c r="D235" s="646"/>
      <c r="G235" s="815" t="s">
        <v>756</v>
      </c>
      <c r="H235" s="816"/>
      <c r="I235" s="816"/>
      <c r="J235" s="816"/>
      <c r="K235" s="816"/>
      <c r="L235" s="816"/>
      <c r="M235" s="816"/>
      <c r="N235" s="816"/>
      <c r="O235" s="817"/>
      <c r="P235" s="830">
        <v>0</v>
      </c>
      <c r="Q235" s="830"/>
      <c r="R235" s="830"/>
      <c r="S235" s="830"/>
      <c r="T235" s="830"/>
      <c r="U235" s="830"/>
      <c r="V235" s="830"/>
      <c r="W235" s="830"/>
      <c r="X235" s="830"/>
    </row>
    <row r="236" spans="4:39" ht="26.25" x14ac:dyDescent="0.4">
      <c r="D236" s="646"/>
    </row>
    <row r="237" spans="4:39" ht="26.25" x14ac:dyDescent="0.4">
      <c r="D237" s="646"/>
    </row>
    <row r="238" spans="4:39" ht="33.6" customHeight="1" x14ac:dyDescent="0.4">
      <c r="D238" s="646"/>
      <c r="G238" s="772" t="s">
        <v>931</v>
      </c>
      <c r="H238" s="772"/>
      <c r="I238" s="772"/>
      <c r="J238" s="772"/>
      <c r="K238" s="772"/>
      <c r="L238" s="772"/>
      <c r="M238" s="772"/>
      <c r="N238" s="772"/>
      <c r="O238" s="772"/>
      <c r="P238" s="772"/>
      <c r="Q238" s="772"/>
      <c r="R238" s="772"/>
      <c r="S238" s="772"/>
      <c r="T238" s="772"/>
      <c r="U238" s="772"/>
      <c r="V238" s="772"/>
      <c r="W238" s="772"/>
      <c r="X238" s="772"/>
      <c r="Y238" s="772"/>
      <c r="Z238" s="772"/>
      <c r="AA238" s="772"/>
      <c r="AB238" s="772"/>
      <c r="AC238" s="772"/>
      <c r="AD238" s="772"/>
      <c r="AE238" s="772"/>
      <c r="AF238" s="772"/>
      <c r="AG238" s="772"/>
      <c r="AH238" s="772"/>
      <c r="AI238" s="772"/>
      <c r="AJ238" s="659"/>
      <c r="AK238" s="659"/>
      <c r="AL238" s="659"/>
      <c r="AM238" s="659"/>
    </row>
    <row r="239" spans="4:39" ht="33.6" customHeight="1" x14ac:dyDescent="0.4">
      <c r="D239" s="646"/>
      <c r="G239" s="772"/>
      <c r="H239" s="772"/>
      <c r="I239" s="772"/>
      <c r="J239" s="772"/>
      <c r="K239" s="772"/>
      <c r="L239" s="772"/>
      <c r="M239" s="772"/>
      <c r="N239" s="772"/>
      <c r="O239" s="772"/>
      <c r="P239" s="772"/>
      <c r="Q239" s="772"/>
      <c r="R239" s="772"/>
      <c r="S239" s="772"/>
      <c r="T239" s="772"/>
      <c r="U239" s="772"/>
      <c r="V239" s="772"/>
      <c r="W239" s="772"/>
      <c r="X239" s="772"/>
      <c r="Y239" s="772"/>
      <c r="Z239" s="772"/>
      <c r="AA239" s="772"/>
      <c r="AB239" s="772"/>
      <c r="AC239" s="772"/>
      <c r="AD239" s="772"/>
      <c r="AE239" s="772"/>
      <c r="AF239" s="772"/>
      <c r="AG239" s="772"/>
      <c r="AH239" s="772"/>
      <c r="AI239" s="772"/>
      <c r="AJ239" s="659"/>
      <c r="AK239" s="659"/>
      <c r="AL239" s="659"/>
      <c r="AM239" s="659"/>
    </row>
    <row r="240" spans="4:39" ht="26.25" x14ac:dyDescent="0.4">
      <c r="D240" s="646"/>
      <c r="G240" s="653"/>
      <c r="H240" s="653"/>
      <c r="I240" s="653"/>
      <c r="J240" s="653"/>
      <c r="K240" s="653"/>
      <c r="L240" s="653"/>
      <c r="M240" s="653"/>
      <c r="N240" s="653"/>
      <c r="O240" s="653"/>
      <c r="P240" s="653"/>
      <c r="Q240" s="653"/>
      <c r="R240" s="653"/>
      <c r="S240" s="653"/>
      <c r="T240" s="653"/>
      <c r="U240" s="653"/>
      <c r="V240" s="653"/>
      <c r="W240" s="653"/>
      <c r="X240" s="653"/>
      <c r="Y240" s="653"/>
      <c r="Z240" s="653"/>
      <c r="AA240" s="653"/>
      <c r="AB240" s="653"/>
      <c r="AC240" s="653"/>
      <c r="AD240" s="653"/>
      <c r="AE240" s="653"/>
      <c r="AF240" s="653"/>
      <c r="AG240" s="653"/>
      <c r="AH240" s="653"/>
      <c r="AI240" s="653"/>
      <c r="AJ240" s="653"/>
      <c r="AK240" s="653"/>
      <c r="AL240" s="653"/>
      <c r="AM240" s="653"/>
    </row>
    <row r="241" spans="4:39" ht="26.25" x14ac:dyDescent="0.4">
      <c r="D241" s="646"/>
      <c r="G241" s="653"/>
      <c r="H241" s="653"/>
      <c r="I241" s="653"/>
      <c r="J241" s="653"/>
      <c r="K241" s="653"/>
      <c r="L241" s="653"/>
      <c r="M241" s="653"/>
      <c r="N241" s="653"/>
      <c r="O241" s="653"/>
      <c r="P241" s="653"/>
      <c r="Q241" s="653"/>
      <c r="R241" s="653"/>
      <c r="S241" s="653"/>
      <c r="T241" s="653"/>
      <c r="U241" s="653"/>
      <c r="V241" s="653"/>
      <c r="W241" s="653"/>
      <c r="X241" s="653"/>
      <c r="Y241" s="653"/>
      <c r="Z241" s="653"/>
      <c r="AA241" s="653"/>
      <c r="AB241" s="653"/>
      <c r="AC241" s="653"/>
      <c r="AD241" s="653"/>
      <c r="AE241" s="653"/>
      <c r="AF241" s="653"/>
      <c r="AG241" s="653"/>
      <c r="AH241" s="653"/>
      <c r="AI241" s="653"/>
      <c r="AJ241" s="653"/>
      <c r="AK241" s="653"/>
      <c r="AL241" s="653"/>
      <c r="AM241" s="653"/>
    </row>
    <row r="242" spans="4:39" ht="26.25" x14ac:dyDescent="0.4">
      <c r="D242" s="646"/>
      <c r="G242" s="653"/>
      <c r="H242" s="653"/>
      <c r="I242" s="653"/>
      <c r="J242" s="653"/>
      <c r="K242" s="653"/>
      <c r="L242" s="653"/>
      <c r="M242" s="653"/>
      <c r="N242" s="653"/>
      <c r="O242" s="653"/>
      <c r="P242" s="653"/>
      <c r="Q242" s="653"/>
      <c r="R242" s="653"/>
      <c r="S242" s="653"/>
      <c r="T242" s="653"/>
      <c r="U242" s="653"/>
      <c r="V242" s="653"/>
      <c r="W242" s="653"/>
      <c r="X242" s="653"/>
      <c r="Y242" s="653"/>
      <c r="Z242" s="653"/>
      <c r="AA242" s="653"/>
      <c r="AB242" s="653"/>
      <c r="AC242" s="653"/>
      <c r="AD242" s="653"/>
      <c r="AE242" s="653"/>
      <c r="AF242" s="653"/>
      <c r="AG242" s="653"/>
      <c r="AH242" s="653"/>
      <c r="AI242" s="653"/>
      <c r="AJ242" s="653"/>
      <c r="AK242" s="653"/>
      <c r="AL242" s="653"/>
      <c r="AM242" s="653"/>
    </row>
    <row r="243" spans="4:39" ht="26.25" x14ac:dyDescent="0.4">
      <c r="D243" s="646"/>
      <c r="G243" s="653"/>
      <c r="H243" s="653"/>
      <c r="I243" s="653"/>
      <c r="J243" s="653"/>
      <c r="K243" s="653"/>
      <c r="L243" s="653"/>
      <c r="M243" s="653"/>
      <c r="N243" s="653"/>
      <c r="O243" s="653"/>
      <c r="P243" s="653"/>
      <c r="Q243" s="653"/>
      <c r="R243" s="653"/>
      <c r="S243" s="653"/>
      <c r="T243" s="653"/>
      <c r="U243" s="653"/>
      <c r="V243" s="653"/>
      <c r="W243" s="653"/>
      <c r="X243" s="653"/>
      <c r="Y243" s="653"/>
      <c r="Z243" s="653"/>
      <c r="AA243" s="653"/>
      <c r="AB243" s="653"/>
      <c r="AC243" s="653"/>
      <c r="AD243" s="653"/>
      <c r="AE243" s="653"/>
      <c r="AF243" s="653"/>
      <c r="AG243" s="653"/>
      <c r="AH243" s="653"/>
      <c r="AI243" s="653"/>
      <c r="AJ243" s="653"/>
      <c r="AK243" s="653"/>
      <c r="AL243" s="653"/>
      <c r="AM243" s="653"/>
    </row>
    <row r="244" spans="4:39" ht="26.25" x14ac:dyDescent="0.4">
      <c r="D244" s="646"/>
      <c r="G244" s="653"/>
      <c r="H244" s="653"/>
      <c r="I244" s="653"/>
      <c r="J244" s="653"/>
      <c r="K244" s="653"/>
      <c r="L244" s="653"/>
      <c r="M244" s="653"/>
      <c r="N244" s="653"/>
      <c r="O244" s="653"/>
      <c r="P244" s="653"/>
      <c r="Q244" s="653"/>
      <c r="R244" s="653"/>
      <c r="S244" s="653"/>
      <c r="T244" s="653"/>
      <c r="U244" s="653"/>
      <c r="V244" s="653"/>
      <c r="W244" s="653"/>
      <c r="X244" s="653"/>
      <c r="Y244" s="653"/>
      <c r="Z244" s="653"/>
      <c r="AA244" s="653"/>
      <c r="AB244" s="653"/>
      <c r="AC244" s="653"/>
      <c r="AD244" s="653"/>
      <c r="AE244" s="653"/>
      <c r="AF244" s="653"/>
      <c r="AG244" s="653"/>
      <c r="AH244" s="653"/>
      <c r="AI244" s="653"/>
      <c r="AJ244" s="653"/>
      <c r="AK244" s="653"/>
      <c r="AL244" s="653"/>
      <c r="AM244" s="653"/>
    </row>
    <row r="245" spans="4:39" ht="26.25" x14ac:dyDescent="0.4">
      <c r="D245" s="646"/>
      <c r="G245" s="653"/>
      <c r="H245" s="653"/>
      <c r="I245" s="653"/>
      <c r="J245" s="653"/>
      <c r="K245" s="653"/>
      <c r="L245" s="653"/>
      <c r="M245" s="653"/>
      <c r="N245" s="653"/>
      <c r="O245" s="653"/>
      <c r="P245" s="653"/>
      <c r="Q245" s="653"/>
      <c r="R245" s="653"/>
      <c r="S245" s="653"/>
      <c r="T245" s="653"/>
      <c r="U245" s="653"/>
      <c r="V245" s="653"/>
      <c r="W245" s="653"/>
      <c r="X245" s="653"/>
      <c r="Y245" s="653"/>
      <c r="Z245" s="653"/>
      <c r="AA245" s="653"/>
      <c r="AB245" s="653"/>
      <c r="AC245" s="653"/>
      <c r="AD245" s="653"/>
      <c r="AE245" s="653"/>
      <c r="AF245" s="653"/>
      <c r="AG245" s="653"/>
      <c r="AH245" s="653"/>
      <c r="AI245" s="653"/>
      <c r="AJ245" s="653"/>
      <c r="AK245" s="653"/>
      <c r="AL245" s="653"/>
      <c r="AM245" s="653"/>
    </row>
    <row r="246" spans="4:39" ht="26.25" x14ac:dyDescent="0.4">
      <c r="D246" s="646"/>
      <c r="G246" s="653"/>
      <c r="H246" s="653"/>
      <c r="I246" s="653"/>
      <c r="J246" s="653"/>
      <c r="K246" s="653"/>
      <c r="L246" s="653"/>
      <c r="M246" s="653"/>
      <c r="N246" s="653"/>
      <c r="O246" s="653"/>
      <c r="P246" s="653"/>
      <c r="Q246" s="653"/>
      <c r="R246" s="653"/>
      <c r="S246" s="653"/>
      <c r="T246" s="653"/>
      <c r="U246" s="653"/>
      <c r="V246" s="653"/>
      <c r="W246" s="653"/>
      <c r="X246" s="653"/>
      <c r="Y246" s="653"/>
      <c r="Z246" s="653"/>
      <c r="AA246" s="653"/>
      <c r="AB246" s="653"/>
      <c r="AC246" s="653"/>
      <c r="AD246" s="653"/>
      <c r="AE246" s="653"/>
      <c r="AF246" s="653"/>
      <c r="AG246" s="653"/>
      <c r="AH246" s="653"/>
      <c r="AI246" s="653"/>
      <c r="AJ246" s="653"/>
      <c r="AK246" s="653"/>
      <c r="AL246" s="653"/>
      <c r="AM246" s="653"/>
    </row>
    <row r="247" spans="4:39" ht="26.25" x14ac:dyDescent="0.4">
      <c r="D247" s="646"/>
      <c r="G247" s="653"/>
      <c r="H247" s="653"/>
      <c r="I247" s="653"/>
      <c r="J247" s="653"/>
      <c r="K247" s="653"/>
      <c r="L247" s="653"/>
      <c r="M247" s="653"/>
      <c r="N247" s="653"/>
      <c r="O247" s="653"/>
      <c r="P247" s="653"/>
      <c r="Q247" s="653"/>
      <c r="R247" s="653"/>
      <c r="S247" s="653"/>
      <c r="T247" s="653"/>
      <c r="U247" s="653"/>
      <c r="V247" s="653"/>
      <c r="W247" s="653"/>
      <c r="X247" s="653"/>
      <c r="Y247" s="653"/>
      <c r="Z247" s="653"/>
      <c r="AA247" s="653"/>
      <c r="AB247" s="653"/>
      <c r="AC247" s="653"/>
      <c r="AD247" s="653"/>
      <c r="AE247" s="653"/>
      <c r="AF247" s="653"/>
      <c r="AG247" s="653"/>
      <c r="AH247" s="653"/>
      <c r="AI247" s="653"/>
      <c r="AJ247" s="653"/>
      <c r="AK247" s="653"/>
      <c r="AL247" s="653"/>
      <c r="AM247" s="653"/>
    </row>
    <row r="248" spans="4:39" ht="26.25" x14ac:dyDescent="0.4">
      <c r="D248" s="646"/>
      <c r="G248" s="653"/>
      <c r="H248" s="653"/>
      <c r="I248" s="653"/>
      <c r="J248" s="653"/>
      <c r="K248" s="653"/>
      <c r="L248" s="653"/>
      <c r="M248" s="653"/>
      <c r="N248" s="653"/>
      <c r="O248" s="653"/>
      <c r="P248" s="653"/>
      <c r="Q248" s="653"/>
      <c r="R248" s="653"/>
      <c r="S248" s="653"/>
      <c r="T248" s="653"/>
      <c r="U248" s="653"/>
      <c r="V248" s="653"/>
      <c r="W248" s="653"/>
      <c r="X248" s="653"/>
      <c r="Y248" s="653"/>
      <c r="Z248" s="653"/>
      <c r="AA248" s="653"/>
      <c r="AB248" s="653"/>
      <c r="AC248" s="653"/>
      <c r="AD248" s="653"/>
      <c r="AE248" s="653"/>
      <c r="AF248" s="653"/>
      <c r="AG248" s="653"/>
      <c r="AH248" s="653"/>
      <c r="AI248" s="653"/>
      <c r="AJ248" s="653"/>
      <c r="AK248" s="653"/>
      <c r="AL248" s="653"/>
      <c r="AM248" s="653"/>
    </row>
    <row r="249" spans="4:39" ht="26.25" x14ac:dyDescent="0.4">
      <c r="D249" s="646"/>
    </row>
    <row r="250" spans="4:39" ht="26.25" x14ac:dyDescent="0.4">
      <c r="D250" s="646"/>
    </row>
    <row r="251" spans="4:39" ht="26.25" x14ac:dyDescent="0.4">
      <c r="D251" s="646"/>
    </row>
    <row r="252" spans="4:39" ht="26.25" x14ac:dyDescent="0.4">
      <c r="D252" s="646"/>
    </row>
    <row r="253" spans="4:39" ht="26.25" x14ac:dyDescent="0.4">
      <c r="D253" s="646"/>
    </row>
    <row r="254" spans="4:39" ht="26.25" x14ac:dyDescent="0.4">
      <c r="D254" s="646"/>
    </row>
    <row r="255" spans="4:39" ht="26.25" x14ac:dyDescent="0.4">
      <c r="D255" s="646"/>
    </row>
    <row r="256" spans="4:39" ht="26.25" x14ac:dyDescent="0.4">
      <c r="D256" s="646"/>
    </row>
    <row r="257" spans="4:39" ht="26.25" x14ac:dyDescent="0.4">
      <c r="D257" s="646"/>
      <c r="F257" s="644" t="s">
        <v>804</v>
      </c>
    </row>
    <row r="258" spans="4:39" ht="26.25" x14ac:dyDescent="0.4">
      <c r="D258" s="646"/>
    </row>
    <row r="259" spans="4:39" ht="26.25" x14ac:dyDescent="0.4">
      <c r="D259" s="646"/>
      <c r="G259" s="660" t="s">
        <v>200</v>
      </c>
    </row>
    <row r="260" spans="4:39" ht="26.25" x14ac:dyDescent="0.4">
      <c r="D260" s="646"/>
      <c r="G260" s="772" t="s">
        <v>809</v>
      </c>
      <c r="H260" s="772"/>
      <c r="I260" s="772"/>
      <c r="J260" s="772"/>
      <c r="K260" s="772"/>
      <c r="L260" s="772"/>
      <c r="M260" s="772"/>
      <c r="N260" s="772"/>
      <c r="O260" s="772"/>
      <c r="P260" s="772"/>
      <c r="Q260" s="772"/>
      <c r="R260" s="772"/>
      <c r="S260" s="772"/>
      <c r="T260" s="772"/>
      <c r="U260" s="772"/>
      <c r="V260" s="772"/>
      <c r="W260" s="772"/>
      <c r="X260" s="772"/>
      <c r="Y260" s="772"/>
      <c r="Z260" s="772"/>
      <c r="AA260" s="772"/>
      <c r="AB260" s="772"/>
      <c r="AC260" s="772"/>
      <c r="AD260" s="772"/>
      <c r="AE260" s="772"/>
      <c r="AF260" s="772"/>
      <c r="AG260" s="772"/>
      <c r="AH260" s="772"/>
      <c r="AI260" s="772"/>
      <c r="AJ260" s="772"/>
      <c r="AK260" s="772"/>
      <c r="AL260" s="772"/>
      <c r="AM260" s="772"/>
    </row>
    <row r="261" spans="4:39" ht="26.25" x14ac:dyDescent="0.4">
      <c r="D261" s="646"/>
    </row>
    <row r="262" spans="4:39" ht="26.25" x14ac:dyDescent="0.4">
      <c r="D262" s="646"/>
      <c r="G262" s="839" t="s">
        <v>828</v>
      </c>
      <c r="H262" s="839"/>
      <c r="I262" s="839"/>
      <c r="J262" s="839"/>
      <c r="K262" s="839"/>
      <c r="L262" s="839"/>
      <c r="M262" s="839"/>
      <c r="N262" s="839"/>
      <c r="O262" s="839"/>
      <c r="P262" s="806">
        <v>613</v>
      </c>
      <c r="Q262" s="806"/>
      <c r="R262" s="806"/>
    </row>
    <row r="263" spans="4:39" ht="26.25" x14ac:dyDescent="0.4">
      <c r="D263" s="646"/>
      <c r="G263" s="839" t="s">
        <v>829</v>
      </c>
      <c r="H263" s="839"/>
      <c r="I263" s="839"/>
      <c r="J263" s="839"/>
      <c r="K263" s="839"/>
      <c r="L263" s="839"/>
      <c r="M263" s="839"/>
      <c r="N263" s="839"/>
      <c r="O263" s="839"/>
      <c r="P263" s="806">
        <v>298.99999999999983</v>
      </c>
      <c r="Q263" s="806"/>
      <c r="R263" s="806"/>
    </row>
    <row r="264" spans="4:39" ht="26.25" x14ac:dyDescent="0.4">
      <c r="D264" s="646"/>
      <c r="G264" s="809" t="s">
        <v>832</v>
      </c>
      <c r="H264" s="839"/>
      <c r="I264" s="839"/>
      <c r="J264" s="839"/>
      <c r="K264" s="839"/>
      <c r="L264" s="839"/>
      <c r="M264" s="839"/>
      <c r="N264" s="839"/>
      <c r="O264" s="839"/>
      <c r="P264" s="806">
        <f>+P263+P262</f>
        <v>911.99999999999977</v>
      </c>
      <c r="Q264" s="806"/>
      <c r="R264" s="806"/>
    </row>
    <row r="265" spans="4:39" ht="26.25" x14ac:dyDescent="0.4">
      <c r="D265" s="646"/>
      <c r="G265" s="839" t="s">
        <v>830</v>
      </c>
      <c r="H265" s="839"/>
      <c r="I265" s="839"/>
      <c r="J265" s="839"/>
      <c r="K265" s="839"/>
      <c r="L265" s="839"/>
      <c r="M265" s="839"/>
      <c r="N265" s="839"/>
      <c r="O265" s="839"/>
      <c r="P265" s="806">
        <v>2280</v>
      </c>
      <c r="Q265" s="806"/>
      <c r="R265" s="806"/>
    </row>
    <row r="266" spans="4:39" ht="26.25" x14ac:dyDescent="0.4">
      <c r="D266" s="646"/>
      <c r="G266" s="839" t="s">
        <v>831</v>
      </c>
      <c r="H266" s="839"/>
      <c r="I266" s="839"/>
      <c r="J266" s="839"/>
      <c r="K266" s="839"/>
      <c r="L266" s="839"/>
      <c r="M266" s="839"/>
      <c r="N266" s="839"/>
      <c r="O266" s="839"/>
      <c r="P266" s="857">
        <f>+P264/P265</f>
        <v>0.39999999999999991</v>
      </c>
      <c r="Q266" s="857"/>
      <c r="R266" s="857"/>
    </row>
    <row r="267" spans="4:39" ht="26.25" x14ac:dyDescent="0.4">
      <c r="D267" s="646"/>
    </row>
    <row r="268" spans="4:39" ht="26.25" x14ac:dyDescent="0.4">
      <c r="D268" s="646"/>
    </row>
    <row r="269" spans="4:39" ht="26.25" x14ac:dyDescent="0.4">
      <c r="D269" s="646"/>
      <c r="G269" s="658" t="s">
        <v>719</v>
      </c>
    </row>
    <row r="270" spans="4:39" ht="26.25" x14ac:dyDescent="0.4">
      <c r="D270" s="646"/>
      <c r="G270" s="772" t="s">
        <v>807</v>
      </c>
      <c r="H270" s="772"/>
      <c r="I270" s="772"/>
      <c r="J270" s="772"/>
      <c r="K270" s="772"/>
      <c r="L270" s="772"/>
      <c r="M270" s="772"/>
      <c r="N270" s="772"/>
      <c r="O270" s="772"/>
      <c r="P270" s="772"/>
      <c r="Q270" s="772"/>
      <c r="R270" s="772"/>
      <c r="S270" s="772"/>
      <c r="T270" s="772"/>
      <c r="U270" s="772"/>
      <c r="V270" s="772"/>
      <c r="W270" s="772"/>
      <c r="X270" s="772"/>
      <c r="Y270" s="772"/>
      <c r="Z270" s="772"/>
      <c r="AA270" s="772"/>
      <c r="AB270" s="772"/>
      <c r="AC270" s="772"/>
      <c r="AD270" s="772"/>
      <c r="AE270" s="772"/>
      <c r="AF270" s="772"/>
      <c r="AG270" s="772"/>
      <c r="AH270" s="772"/>
      <c r="AI270" s="772"/>
      <c r="AJ270" s="772"/>
      <c r="AK270" s="772"/>
      <c r="AL270" s="772"/>
      <c r="AM270" s="772"/>
    </row>
    <row r="271" spans="4:39" ht="26.25" x14ac:dyDescent="0.4">
      <c r="D271" s="646"/>
      <c r="G271" s="635"/>
      <c r="H271" s="635"/>
      <c r="I271" s="635"/>
      <c r="J271" s="635"/>
      <c r="K271" s="635"/>
      <c r="L271" s="635"/>
      <c r="M271" s="635"/>
      <c r="N271" s="635"/>
      <c r="O271" s="635"/>
      <c r="P271" s="635"/>
      <c r="Q271" s="635"/>
      <c r="R271" s="635"/>
      <c r="S271" s="635"/>
      <c r="T271" s="635"/>
      <c r="U271" s="635"/>
      <c r="V271" s="635"/>
      <c r="W271" s="635"/>
      <c r="X271" s="635"/>
      <c r="Y271" s="635"/>
      <c r="Z271" s="635"/>
      <c r="AA271" s="635"/>
      <c r="AB271" s="635"/>
      <c r="AC271" s="635"/>
      <c r="AD271" s="635"/>
      <c r="AE271" s="635"/>
      <c r="AF271" s="635"/>
      <c r="AG271" s="635"/>
      <c r="AH271" s="635"/>
      <c r="AI271" s="635"/>
      <c r="AJ271" s="635"/>
      <c r="AK271" s="635"/>
      <c r="AL271" s="635"/>
      <c r="AM271" s="635"/>
    </row>
    <row r="272" spans="4:39" ht="26.25" x14ac:dyDescent="0.4">
      <c r="D272" s="646"/>
      <c r="G272" s="809" t="s">
        <v>833</v>
      </c>
      <c r="H272" s="809"/>
      <c r="I272" s="809"/>
      <c r="J272" s="809"/>
      <c r="K272" s="809"/>
      <c r="L272" s="809"/>
      <c r="M272" s="809"/>
      <c r="N272" s="809"/>
      <c r="O272" s="809"/>
      <c r="P272" s="809"/>
      <c r="Q272" s="809"/>
      <c r="R272" s="809"/>
      <c r="S272" s="809"/>
      <c r="T272" s="809"/>
      <c r="U272" s="809"/>
      <c r="V272" s="809"/>
      <c r="W272" s="809"/>
      <c r="X272" s="806">
        <v>4740</v>
      </c>
      <c r="Y272" s="806"/>
      <c r="Z272" s="806"/>
    </row>
    <row r="273" spans="4:39" ht="26.25" x14ac:dyDescent="0.4">
      <c r="D273" s="646"/>
      <c r="G273" s="809" t="s">
        <v>834</v>
      </c>
      <c r="H273" s="809"/>
      <c r="I273" s="809"/>
      <c r="J273" s="809"/>
      <c r="K273" s="809"/>
      <c r="L273" s="809"/>
      <c r="M273" s="809"/>
      <c r="N273" s="809"/>
      <c r="O273" s="809"/>
      <c r="P273" s="809"/>
      <c r="Q273" s="809"/>
      <c r="R273" s="809"/>
      <c r="S273" s="809"/>
      <c r="T273" s="809"/>
      <c r="U273" s="809"/>
      <c r="V273" s="809"/>
      <c r="W273" s="809"/>
      <c r="X273" s="856">
        <v>4</v>
      </c>
      <c r="Y273" s="856"/>
      <c r="Z273" s="856"/>
    </row>
    <row r="274" spans="4:39" ht="26.25" x14ac:dyDescent="0.4">
      <c r="D274" s="646"/>
      <c r="G274" s="809" t="s">
        <v>835</v>
      </c>
      <c r="H274" s="809"/>
      <c r="I274" s="809"/>
      <c r="J274" s="809"/>
      <c r="K274" s="809"/>
      <c r="L274" s="809"/>
      <c r="M274" s="809"/>
      <c r="N274" s="809"/>
      <c r="O274" s="809"/>
      <c r="P274" s="809"/>
      <c r="Q274" s="809"/>
      <c r="R274" s="809"/>
      <c r="S274" s="809"/>
      <c r="T274" s="809"/>
      <c r="U274" s="809"/>
      <c r="V274" s="809"/>
      <c r="W274" s="809"/>
      <c r="X274" s="856">
        <f>+X272/X273</f>
        <v>1185</v>
      </c>
      <c r="Y274" s="856"/>
      <c r="Z274" s="856"/>
    </row>
    <row r="275" spans="4:39" ht="26.25" x14ac:dyDescent="0.4">
      <c r="D275" s="646"/>
      <c r="G275" s="809" t="s">
        <v>836</v>
      </c>
      <c r="H275" s="809"/>
      <c r="I275" s="809"/>
      <c r="J275" s="809"/>
      <c r="K275" s="809"/>
      <c r="L275" s="809"/>
      <c r="M275" s="809"/>
      <c r="N275" s="809"/>
      <c r="O275" s="809"/>
      <c r="P275" s="809"/>
      <c r="Q275" s="809"/>
      <c r="R275" s="809"/>
      <c r="S275" s="809"/>
      <c r="T275" s="809"/>
      <c r="U275" s="809"/>
      <c r="V275" s="809"/>
      <c r="W275" s="809"/>
      <c r="X275" s="855">
        <f>+X274/12</f>
        <v>98.75</v>
      </c>
      <c r="Y275" s="855"/>
      <c r="Z275" s="855"/>
    </row>
    <row r="276" spans="4:39" ht="26.25" x14ac:dyDescent="0.4">
      <c r="D276" s="646"/>
    </row>
    <row r="277" spans="4:39" ht="26.25" x14ac:dyDescent="0.4">
      <c r="D277" s="646"/>
      <c r="G277" s="658" t="s">
        <v>808</v>
      </c>
    </row>
    <row r="278" spans="4:39" ht="26.25" x14ac:dyDescent="0.4">
      <c r="D278" s="646"/>
      <c r="G278" s="772" t="s">
        <v>810</v>
      </c>
      <c r="H278" s="772"/>
      <c r="I278" s="772"/>
      <c r="J278" s="772"/>
      <c r="K278" s="772"/>
      <c r="L278" s="772"/>
      <c r="M278" s="772"/>
      <c r="N278" s="772"/>
      <c r="O278" s="772"/>
      <c r="P278" s="772"/>
      <c r="Q278" s="772"/>
      <c r="R278" s="772"/>
      <c r="S278" s="772"/>
      <c r="T278" s="772"/>
      <c r="U278" s="772"/>
      <c r="V278" s="772"/>
      <c r="W278" s="772"/>
      <c r="X278" s="772"/>
      <c r="Y278" s="772"/>
      <c r="Z278" s="772"/>
      <c r="AA278" s="772"/>
      <c r="AB278" s="772"/>
      <c r="AC278" s="772"/>
      <c r="AD278" s="772"/>
      <c r="AE278" s="772"/>
      <c r="AF278" s="772"/>
      <c r="AG278" s="772"/>
      <c r="AH278" s="772"/>
      <c r="AI278" s="772"/>
      <c r="AJ278" s="772"/>
      <c r="AK278" s="772"/>
      <c r="AL278" s="772"/>
      <c r="AM278" s="772"/>
    </row>
    <row r="279" spans="4:39" ht="26.25" x14ac:dyDescent="0.4">
      <c r="D279" s="646"/>
    </row>
    <row r="280" spans="4:39" ht="26.25" x14ac:dyDescent="0.4">
      <c r="D280" s="646"/>
      <c r="G280" s="839" t="s">
        <v>837</v>
      </c>
      <c r="H280" s="839"/>
      <c r="I280" s="839"/>
      <c r="J280" s="839"/>
      <c r="K280" s="839"/>
      <c r="L280" s="839"/>
      <c r="M280" s="839"/>
      <c r="N280" s="839"/>
      <c r="O280" s="839"/>
      <c r="P280" s="839"/>
      <c r="Q280" s="839"/>
      <c r="R280" s="839"/>
      <c r="S280" s="839"/>
      <c r="T280" s="839"/>
      <c r="U280" s="839"/>
      <c r="V280" s="839"/>
      <c r="W280" s="839"/>
      <c r="X280" s="806">
        <v>124</v>
      </c>
      <c r="Y280" s="806"/>
      <c r="Z280" s="806"/>
    </row>
    <row r="281" spans="4:39" ht="26.25" x14ac:dyDescent="0.4">
      <c r="D281" s="646"/>
      <c r="G281" s="839" t="s">
        <v>838</v>
      </c>
      <c r="H281" s="839"/>
      <c r="I281" s="839"/>
      <c r="J281" s="839"/>
      <c r="K281" s="839"/>
      <c r="L281" s="839"/>
      <c r="M281" s="839"/>
      <c r="N281" s="839"/>
      <c r="O281" s="839"/>
      <c r="P281" s="839"/>
      <c r="Q281" s="839"/>
      <c r="R281" s="839"/>
      <c r="S281" s="839"/>
      <c r="T281" s="839"/>
      <c r="U281" s="839"/>
      <c r="V281" s="839"/>
      <c r="W281" s="839"/>
      <c r="X281" s="806">
        <v>210</v>
      </c>
      <c r="Y281" s="806"/>
      <c r="Z281" s="806"/>
    </row>
    <row r="282" spans="4:39" ht="26.25" x14ac:dyDescent="0.4">
      <c r="D282" s="646"/>
      <c r="G282" s="839" t="s">
        <v>839</v>
      </c>
      <c r="H282" s="839"/>
      <c r="I282" s="839"/>
      <c r="J282" s="839"/>
      <c r="K282" s="839"/>
      <c r="L282" s="839"/>
      <c r="M282" s="839"/>
      <c r="N282" s="839"/>
      <c r="O282" s="839"/>
      <c r="P282" s="839"/>
      <c r="Q282" s="839"/>
      <c r="R282" s="839"/>
      <c r="S282" s="839"/>
      <c r="T282" s="839"/>
      <c r="U282" s="839"/>
      <c r="V282" s="839"/>
      <c r="W282" s="839"/>
      <c r="X282" s="806">
        <v>198</v>
      </c>
      <c r="Y282" s="806"/>
      <c r="Z282" s="806"/>
    </row>
    <row r="283" spans="4:39" ht="26.25" x14ac:dyDescent="0.4">
      <c r="D283" s="646"/>
      <c r="G283" s="839" t="s">
        <v>840</v>
      </c>
      <c r="H283" s="839"/>
      <c r="I283" s="839"/>
      <c r="J283" s="839"/>
      <c r="K283" s="839"/>
      <c r="L283" s="839"/>
      <c r="M283" s="839"/>
      <c r="N283" s="839"/>
      <c r="O283" s="839"/>
      <c r="P283" s="839"/>
      <c r="Q283" s="839"/>
      <c r="R283" s="839"/>
      <c r="S283" s="839"/>
      <c r="T283" s="839"/>
      <c r="U283" s="839"/>
      <c r="V283" s="839"/>
      <c r="W283" s="839"/>
      <c r="X283" s="806">
        <v>331.99999999999977</v>
      </c>
      <c r="Y283" s="806"/>
      <c r="Z283" s="806"/>
    </row>
    <row r="284" spans="4:39" ht="26.25" x14ac:dyDescent="0.4">
      <c r="D284" s="646"/>
      <c r="G284" s="839" t="s">
        <v>841</v>
      </c>
      <c r="H284" s="839"/>
      <c r="I284" s="839"/>
      <c r="J284" s="839"/>
      <c r="K284" s="839"/>
      <c r="L284" s="839"/>
      <c r="M284" s="839"/>
      <c r="N284" s="839"/>
      <c r="O284" s="839"/>
      <c r="P284" s="839"/>
      <c r="Q284" s="839"/>
      <c r="R284" s="839"/>
      <c r="S284" s="839"/>
      <c r="T284" s="839"/>
      <c r="U284" s="839"/>
      <c r="V284" s="839"/>
      <c r="W284" s="839"/>
      <c r="X284" s="806">
        <f>+SUM(X280:Z283)</f>
        <v>863.99999999999977</v>
      </c>
      <c r="Y284" s="806"/>
      <c r="Z284" s="806"/>
    </row>
    <row r="285" spans="4:39" ht="26.25" x14ac:dyDescent="0.4">
      <c r="D285" s="646"/>
      <c r="G285" s="839" t="s">
        <v>842</v>
      </c>
      <c r="H285" s="839"/>
      <c r="I285" s="839"/>
      <c r="J285" s="839"/>
      <c r="K285" s="839"/>
      <c r="L285" s="839"/>
      <c r="M285" s="839"/>
      <c r="N285" s="839"/>
      <c r="O285" s="839"/>
      <c r="P285" s="839"/>
      <c r="Q285" s="839"/>
      <c r="R285" s="839"/>
      <c r="S285" s="839"/>
      <c r="T285" s="839"/>
      <c r="U285" s="839"/>
      <c r="V285" s="839"/>
      <c r="W285" s="839"/>
      <c r="X285" s="806">
        <f>+X284/4</f>
        <v>215.99999999999994</v>
      </c>
      <c r="Y285" s="806"/>
      <c r="Z285" s="806"/>
    </row>
    <row r="286" spans="4:39" ht="26.25" x14ac:dyDescent="0.4">
      <c r="D286" s="646"/>
      <c r="G286" s="858" t="s">
        <v>843</v>
      </c>
      <c r="H286" s="859"/>
      <c r="I286" s="859"/>
      <c r="J286" s="859"/>
      <c r="K286" s="859"/>
      <c r="L286" s="859"/>
      <c r="M286" s="859"/>
      <c r="N286" s="859"/>
      <c r="O286" s="859"/>
      <c r="P286" s="859"/>
      <c r="Q286" s="859"/>
      <c r="R286" s="859"/>
      <c r="S286" s="859"/>
      <c r="T286" s="859"/>
      <c r="U286" s="859"/>
      <c r="V286" s="859"/>
      <c r="W286" s="860"/>
      <c r="X286" s="773">
        <f>+X285/12</f>
        <v>17.999999999999996</v>
      </c>
      <c r="Y286" s="773"/>
      <c r="Z286" s="773"/>
    </row>
    <row r="287" spans="4:39" ht="26.25" x14ac:dyDescent="0.4">
      <c r="D287" s="646"/>
    </row>
    <row r="288" spans="4:39" ht="26.25" x14ac:dyDescent="0.4">
      <c r="D288" s="646"/>
    </row>
    <row r="289" spans="4:39" ht="26.25" x14ac:dyDescent="0.4">
      <c r="D289" s="646"/>
      <c r="G289" s="772" t="s">
        <v>895</v>
      </c>
      <c r="H289" s="772"/>
      <c r="I289" s="772"/>
      <c r="J289" s="772"/>
      <c r="K289" s="772"/>
      <c r="L289" s="772"/>
      <c r="M289" s="772"/>
      <c r="N289" s="772"/>
      <c r="O289" s="772"/>
      <c r="P289" s="772"/>
      <c r="Q289" s="772"/>
      <c r="R289" s="772"/>
      <c r="S289" s="772"/>
      <c r="T289" s="772"/>
      <c r="U289" s="772"/>
      <c r="V289" s="772"/>
      <c r="W289" s="772"/>
      <c r="X289" s="772"/>
      <c r="Y289" s="772"/>
      <c r="Z289" s="772"/>
      <c r="AA289" s="772"/>
      <c r="AB289" s="772"/>
      <c r="AC289" s="772"/>
      <c r="AD289" s="772"/>
      <c r="AE289" s="772"/>
      <c r="AF289" s="772"/>
      <c r="AG289" s="772"/>
      <c r="AH289" s="772"/>
      <c r="AI289" s="772"/>
      <c r="AJ289" s="772"/>
      <c r="AK289" s="772"/>
      <c r="AL289" s="772"/>
      <c r="AM289" s="772"/>
    </row>
    <row r="290" spans="4:39" ht="26.25" x14ac:dyDescent="0.4">
      <c r="D290" s="646"/>
      <c r="G290" s="772"/>
      <c r="H290" s="772"/>
      <c r="I290" s="772"/>
      <c r="J290" s="772"/>
      <c r="K290" s="772"/>
      <c r="L290" s="772"/>
      <c r="M290" s="772"/>
      <c r="N290" s="772"/>
      <c r="O290" s="772"/>
      <c r="P290" s="772"/>
      <c r="Q290" s="772"/>
      <c r="R290" s="772"/>
      <c r="S290" s="772"/>
      <c r="T290" s="772"/>
      <c r="U290" s="772"/>
      <c r="V290" s="772"/>
      <c r="W290" s="772"/>
      <c r="X290" s="772"/>
      <c r="Y290" s="772"/>
      <c r="Z290" s="772"/>
      <c r="AA290" s="772"/>
      <c r="AB290" s="772"/>
      <c r="AC290" s="772"/>
      <c r="AD290" s="772"/>
      <c r="AE290" s="772"/>
      <c r="AF290" s="772"/>
      <c r="AG290" s="772"/>
      <c r="AH290" s="772"/>
      <c r="AI290" s="772"/>
      <c r="AJ290" s="772"/>
      <c r="AK290" s="772"/>
      <c r="AL290" s="772"/>
      <c r="AM290" s="772"/>
    </row>
    <row r="291" spans="4:39" ht="26.25" x14ac:dyDescent="0.4">
      <c r="D291" s="646"/>
    </row>
    <row r="292" spans="4:39" ht="26.25" x14ac:dyDescent="0.4">
      <c r="D292" s="646"/>
    </row>
    <row r="293" spans="4:39" ht="26.25" x14ac:dyDescent="0.4">
      <c r="D293" s="646"/>
    </row>
    <row r="294" spans="4:39" ht="26.25" x14ac:dyDescent="0.4">
      <c r="D294" s="646"/>
    </row>
    <row r="295" spans="4:39" ht="26.25" x14ac:dyDescent="0.4">
      <c r="D295" s="646"/>
    </row>
    <row r="296" spans="4:39" ht="26.25" x14ac:dyDescent="0.4">
      <c r="D296" s="646"/>
    </row>
    <row r="297" spans="4:39" ht="26.25" x14ac:dyDescent="0.4">
      <c r="D297" s="646"/>
    </row>
    <row r="298" spans="4:39" ht="26.25" x14ac:dyDescent="0.4">
      <c r="D298" s="646"/>
    </row>
    <row r="299" spans="4:39" ht="26.25" x14ac:dyDescent="0.4">
      <c r="D299" s="646"/>
    </row>
    <row r="300" spans="4:39" ht="26.25" x14ac:dyDescent="0.4">
      <c r="D300" s="646"/>
    </row>
    <row r="301" spans="4:39" ht="26.25" x14ac:dyDescent="0.4">
      <c r="D301" s="646"/>
    </row>
    <row r="302" spans="4:39" ht="26.25" x14ac:dyDescent="0.4">
      <c r="D302" s="646"/>
    </row>
    <row r="303" spans="4:39" ht="26.25" x14ac:dyDescent="0.4">
      <c r="D303" s="646"/>
      <c r="G303" s="658" t="s">
        <v>290</v>
      </c>
    </row>
    <row r="304" spans="4:39" ht="26.25" x14ac:dyDescent="0.4">
      <c r="D304" s="646"/>
      <c r="G304" s="772" t="s">
        <v>811</v>
      </c>
      <c r="H304" s="772"/>
      <c r="I304" s="772"/>
      <c r="J304" s="772"/>
      <c r="K304" s="772"/>
      <c r="L304" s="772"/>
      <c r="M304" s="772"/>
      <c r="N304" s="772"/>
      <c r="O304" s="772"/>
      <c r="P304" s="772"/>
      <c r="Q304" s="772"/>
      <c r="R304" s="772"/>
      <c r="S304" s="772"/>
      <c r="T304" s="772"/>
      <c r="U304" s="772"/>
      <c r="V304" s="772"/>
      <c r="W304" s="772"/>
      <c r="X304" s="772"/>
      <c r="Y304" s="772"/>
      <c r="Z304" s="772"/>
      <c r="AA304" s="772"/>
      <c r="AB304" s="772"/>
      <c r="AC304" s="772"/>
      <c r="AD304" s="772"/>
      <c r="AE304" s="772"/>
      <c r="AF304" s="772"/>
      <c r="AG304" s="772"/>
      <c r="AH304" s="772"/>
      <c r="AI304" s="772"/>
      <c r="AJ304" s="772"/>
      <c r="AK304" s="772"/>
      <c r="AL304" s="772"/>
      <c r="AM304" s="772"/>
    </row>
    <row r="305" spans="4:39" ht="26.25" x14ac:dyDescent="0.4">
      <c r="D305" s="646"/>
      <c r="G305" s="772"/>
      <c r="H305" s="772"/>
      <c r="I305" s="772"/>
      <c r="J305" s="772"/>
      <c r="K305" s="772"/>
      <c r="L305" s="772"/>
      <c r="M305" s="772"/>
      <c r="N305" s="772"/>
      <c r="O305" s="772"/>
      <c r="P305" s="772"/>
      <c r="Q305" s="772"/>
      <c r="R305" s="772"/>
      <c r="S305" s="772"/>
      <c r="T305" s="772"/>
      <c r="U305" s="772"/>
      <c r="V305" s="772"/>
      <c r="W305" s="772"/>
      <c r="X305" s="772"/>
      <c r="Y305" s="772"/>
      <c r="Z305" s="772"/>
      <c r="AA305" s="772"/>
      <c r="AB305" s="772"/>
      <c r="AC305" s="772"/>
      <c r="AD305" s="772"/>
      <c r="AE305" s="772"/>
      <c r="AF305" s="772"/>
      <c r="AG305" s="772"/>
      <c r="AH305" s="772"/>
      <c r="AI305" s="772"/>
      <c r="AJ305" s="772"/>
      <c r="AK305" s="772"/>
      <c r="AL305" s="772"/>
      <c r="AM305" s="772"/>
    </row>
    <row r="306" spans="4:39" ht="26.25" x14ac:dyDescent="0.4">
      <c r="D306" s="646"/>
      <c r="G306" s="839" t="s">
        <v>844</v>
      </c>
      <c r="H306" s="839"/>
      <c r="I306" s="839"/>
      <c r="J306" s="839"/>
      <c r="K306" s="839"/>
      <c r="L306" s="839"/>
      <c r="M306" s="839"/>
      <c r="N306" s="839"/>
      <c r="O306" s="839"/>
      <c r="P306" s="839"/>
      <c r="Q306" s="839"/>
      <c r="R306" s="839"/>
      <c r="S306" s="839"/>
      <c r="T306" s="839"/>
      <c r="U306" s="806">
        <v>2987</v>
      </c>
      <c r="V306" s="806"/>
      <c r="W306" s="806"/>
    </row>
    <row r="307" spans="4:39" ht="26.25" x14ac:dyDescent="0.4">
      <c r="D307" s="646"/>
      <c r="G307" s="839" t="s">
        <v>845</v>
      </c>
      <c r="H307" s="839"/>
      <c r="I307" s="839"/>
      <c r="J307" s="839"/>
      <c r="K307" s="839"/>
      <c r="L307" s="839"/>
      <c r="M307" s="839"/>
      <c r="N307" s="839"/>
      <c r="O307" s="839"/>
      <c r="P307" s="839"/>
      <c r="Q307" s="839"/>
      <c r="R307" s="839"/>
      <c r="S307" s="839"/>
      <c r="T307" s="839"/>
      <c r="U307" s="806">
        <v>1100</v>
      </c>
      <c r="V307" s="806"/>
      <c r="W307" s="806"/>
    </row>
    <row r="308" spans="4:39" ht="26.25" x14ac:dyDescent="0.4">
      <c r="D308" s="646"/>
      <c r="G308" s="839" t="s">
        <v>846</v>
      </c>
      <c r="H308" s="839"/>
      <c r="I308" s="839"/>
      <c r="J308" s="839"/>
      <c r="K308" s="839"/>
      <c r="L308" s="839"/>
      <c r="M308" s="839"/>
      <c r="N308" s="839"/>
      <c r="O308" s="839"/>
      <c r="P308" s="839"/>
      <c r="Q308" s="839"/>
      <c r="R308" s="839"/>
      <c r="S308" s="839"/>
      <c r="T308" s="839"/>
      <c r="U308" s="806">
        <v>800</v>
      </c>
      <c r="V308" s="806"/>
      <c r="W308" s="806"/>
    </row>
    <row r="309" spans="4:39" ht="26.25" x14ac:dyDescent="0.4">
      <c r="D309" s="646"/>
      <c r="G309" s="839" t="s">
        <v>847</v>
      </c>
      <c r="H309" s="839"/>
      <c r="I309" s="839"/>
      <c r="J309" s="839"/>
      <c r="K309" s="839"/>
      <c r="L309" s="839"/>
      <c r="M309" s="839"/>
      <c r="N309" s="839"/>
      <c r="O309" s="839"/>
      <c r="P309" s="839"/>
      <c r="Q309" s="839"/>
      <c r="R309" s="839"/>
      <c r="S309" s="839"/>
      <c r="T309" s="839"/>
      <c r="U309" s="806">
        <v>824.99999999999955</v>
      </c>
      <c r="V309" s="806"/>
      <c r="W309" s="806"/>
    </row>
    <row r="310" spans="4:39" ht="26.25" x14ac:dyDescent="0.4">
      <c r="D310" s="646"/>
      <c r="G310" s="839" t="s">
        <v>848</v>
      </c>
      <c r="H310" s="839"/>
      <c r="I310" s="839"/>
      <c r="J310" s="839"/>
      <c r="K310" s="839"/>
      <c r="L310" s="839"/>
      <c r="M310" s="839"/>
      <c r="N310" s="839"/>
      <c r="O310" s="839"/>
      <c r="P310" s="839"/>
      <c r="Q310" s="839"/>
      <c r="R310" s="839"/>
      <c r="S310" s="839"/>
      <c r="T310" s="839"/>
      <c r="U310" s="806">
        <f>+SUM(U306:W309)</f>
        <v>5712</v>
      </c>
      <c r="V310" s="806"/>
      <c r="W310" s="806"/>
    </row>
    <row r="311" spans="4:39" ht="26.25" x14ac:dyDescent="0.4">
      <c r="D311" s="646"/>
      <c r="G311" s="839" t="s">
        <v>849</v>
      </c>
      <c r="H311" s="839"/>
      <c r="I311" s="839"/>
      <c r="J311" s="839"/>
      <c r="K311" s="839"/>
      <c r="L311" s="839"/>
      <c r="M311" s="839"/>
      <c r="N311" s="839"/>
      <c r="O311" s="839"/>
      <c r="P311" s="839"/>
      <c r="Q311" s="839"/>
      <c r="R311" s="839"/>
      <c r="S311" s="839"/>
      <c r="T311" s="839"/>
      <c r="U311" s="806">
        <f>+U310/4</f>
        <v>1428</v>
      </c>
      <c r="V311" s="806"/>
      <c r="W311" s="806"/>
    </row>
    <row r="312" spans="4:39" ht="26.25" x14ac:dyDescent="0.4">
      <c r="D312" s="646"/>
      <c r="G312" s="839" t="s">
        <v>850</v>
      </c>
      <c r="H312" s="839"/>
      <c r="I312" s="839"/>
      <c r="J312" s="839"/>
      <c r="K312" s="839"/>
      <c r="L312" s="839"/>
      <c r="M312" s="839"/>
      <c r="N312" s="839"/>
      <c r="O312" s="839"/>
      <c r="P312" s="839"/>
      <c r="Q312" s="839"/>
      <c r="R312" s="839"/>
      <c r="S312" s="839"/>
      <c r="T312" s="839"/>
      <c r="U312" s="773">
        <f>+U311/12</f>
        <v>119</v>
      </c>
      <c r="V312" s="773"/>
      <c r="W312" s="773"/>
    </row>
    <row r="313" spans="4:39" ht="26.25" x14ac:dyDescent="0.4">
      <c r="D313" s="646"/>
    </row>
    <row r="314" spans="4:39" ht="26.25" x14ac:dyDescent="0.4">
      <c r="D314" s="646"/>
    </row>
    <row r="315" spans="4:39" ht="26.25" x14ac:dyDescent="0.4">
      <c r="D315" s="646"/>
      <c r="G315" s="649" t="s">
        <v>896</v>
      </c>
    </row>
    <row r="316" spans="4:39" ht="26.25" x14ac:dyDescent="0.4">
      <c r="D316" s="646"/>
    </row>
    <row r="317" spans="4:39" ht="26.25" x14ac:dyDescent="0.4">
      <c r="D317" s="646"/>
    </row>
    <row r="318" spans="4:39" ht="26.25" x14ac:dyDescent="0.4">
      <c r="D318" s="646"/>
    </row>
    <row r="319" spans="4:39" ht="26.25" x14ac:dyDescent="0.4">
      <c r="D319" s="646"/>
    </row>
    <row r="320" spans="4:39" ht="26.25" x14ac:dyDescent="0.4">
      <c r="D320" s="646"/>
    </row>
    <row r="321" spans="4:38" ht="26.25" x14ac:dyDescent="0.4">
      <c r="D321" s="646"/>
    </row>
    <row r="322" spans="4:38" ht="26.25" x14ac:dyDescent="0.4">
      <c r="D322" s="646"/>
    </row>
    <row r="323" spans="4:38" ht="26.25" x14ac:dyDescent="0.4">
      <c r="D323" s="646"/>
    </row>
    <row r="324" spans="4:38" ht="26.25" x14ac:dyDescent="0.4">
      <c r="D324" s="646"/>
      <c r="F324" s="633" t="s">
        <v>884</v>
      </c>
    </row>
    <row r="325" spans="4:38" ht="26.25" x14ac:dyDescent="0.4">
      <c r="D325" s="646"/>
      <c r="F325" s="633"/>
    </row>
    <row r="326" spans="4:38" ht="26.25" x14ac:dyDescent="0.4">
      <c r="D326" s="646"/>
      <c r="F326" s="649" t="s">
        <v>916</v>
      </c>
    </row>
    <row r="327" spans="4:38" ht="26.25" x14ac:dyDescent="0.4">
      <c r="D327" s="646"/>
    </row>
    <row r="328" spans="4:38" ht="34.15" customHeight="1" x14ac:dyDescent="0.4">
      <c r="D328" s="646"/>
      <c r="AJ328" s="659"/>
      <c r="AK328" s="659"/>
      <c r="AL328" s="659"/>
    </row>
    <row r="329" spans="4:38" ht="34.15" customHeight="1" x14ac:dyDescent="0.4">
      <c r="D329" s="646"/>
      <c r="AJ329" s="659"/>
      <c r="AK329" s="659"/>
      <c r="AL329" s="659"/>
    </row>
    <row r="330" spans="4:38" ht="26.25" x14ac:dyDescent="0.4">
      <c r="D330" s="646"/>
    </row>
    <row r="331" spans="4:38" ht="26.25" x14ac:dyDescent="0.4">
      <c r="D331" s="646"/>
    </row>
    <row r="332" spans="4:38" ht="26.25" x14ac:dyDescent="0.4">
      <c r="D332" s="646"/>
    </row>
    <row r="333" spans="4:38" ht="26.25" x14ac:dyDescent="0.4">
      <c r="D333" s="646"/>
    </row>
    <row r="334" spans="4:38" ht="26.25" x14ac:dyDescent="0.4">
      <c r="D334" s="646"/>
    </row>
    <row r="335" spans="4:38" ht="26.25" x14ac:dyDescent="0.4">
      <c r="D335" s="646"/>
    </row>
    <row r="336" spans="4:38" ht="26.25" x14ac:dyDescent="0.4">
      <c r="D336" s="646"/>
    </row>
    <row r="337" spans="4:38" ht="26.25" x14ac:dyDescent="0.4">
      <c r="D337" s="646"/>
    </row>
    <row r="338" spans="4:38" ht="26.25" x14ac:dyDescent="0.4">
      <c r="D338" s="646"/>
    </row>
    <row r="339" spans="4:38" ht="26.25" x14ac:dyDescent="0.4">
      <c r="D339" s="646"/>
    </row>
    <row r="341" spans="4:38" ht="23.25" x14ac:dyDescent="0.35">
      <c r="F341" s="633" t="s">
        <v>400</v>
      </c>
    </row>
    <row r="343" spans="4:38" ht="31.9" customHeight="1" x14ac:dyDescent="0.3">
      <c r="F343" s="772" t="s">
        <v>932</v>
      </c>
      <c r="G343" s="772"/>
      <c r="H343" s="772"/>
      <c r="I343" s="772"/>
      <c r="J343" s="772"/>
      <c r="K343" s="772"/>
      <c r="L343" s="772"/>
      <c r="M343" s="772"/>
      <c r="N343" s="772"/>
      <c r="O343" s="772"/>
      <c r="P343" s="772"/>
      <c r="Q343" s="772"/>
      <c r="R343" s="772"/>
      <c r="S343" s="772"/>
      <c r="T343" s="772"/>
      <c r="U343" s="772"/>
      <c r="V343" s="772"/>
      <c r="W343" s="772"/>
      <c r="X343" s="772"/>
      <c r="Y343" s="772"/>
      <c r="Z343" s="772"/>
      <c r="AA343" s="772"/>
      <c r="AB343" s="772"/>
      <c r="AC343" s="772"/>
      <c r="AD343" s="772"/>
      <c r="AE343" s="772"/>
      <c r="AF343" s="772"/>
      <c r="AG343" s="772"/>
      <c r="AH343" s="772"/>
      <c r="AI343" s="772"/>
      <c r="AJ343" s="659"/>
      <c r="AK343" s="659"/>
      <c r="AL343" s="659"/>
    </row>
    <row r="344" spans="4:38" ht="31.9" customHeight="1" x14ac:dyDescent="0.3">
      <c r="F344" s="772"/>
      <c r="G344" s="772"/>
      <c r="H344" s="772"/>
      <c r="I344" s="772"/>
      <c r="J344" s="772"/>
      <c r="K344" s="772"/>
      <c r="L344" s="772"/>
      <c r="M344" s="772"/>
      <c r="N344" s="772"/>
      <c r="O344" s="772"/>
      <c r="P344" s="772"/>
      <c r="Q344" s="772"/>
      <c r="R344" s="772"/>
      <c r="S344" s="772"/>
      <c r="T344" s="772"/>
      <c r="U344" s="772"/>
      <c r="V344" s="772"/>
      <c r="W344" s="772"/>
      <c r="X344" s="772"/>
      <c r="Y344" s="772"/>
      <c r="Z344" s="772"/>
      <c r="AA344" s="772"/>
      <c r="AB344" s="772"/>
      <c r="AC344" s="772"/>
      <c r="AD344" s="772"/>
      <c r="AE344" s="772"/>
      <c r="AF344" s="772"/>
      <c r="AG344" s="772"/>
      <c r="AH344" s="772"/>
      <c r="AI344" s="772"/>
      <c r="AJ344" s="659"/>
      <c r="AK344" s="659"/>
      <c r="AL344" s="659"/>
    </row>
    <row r="359" spans="6:38" ht="41.45" customHeight="1" x14ac:dyDescent="0.3">
      <c r="F359" s="772" t="s">
        <v>933</v>
      </c>
      <c r="G359" s="772"/>
      <c r="H359" s="772"/>
      <c r="I359" s="772"/>
      <c r="J359" s="772"/>
      <c r="K359" s="772"/>
      <c r="L359" s="772"/>
      <c r="M359" s="772"/>
      <c r="N359" s="772"/>
      <c r="O359" s="772"/>
      <c r="P359" s="772"/>
      <c r="Q359" s="772"/>
      <c r="R359" s="772"/>
      <c r="S359" s="772"/>
      <c r="T359" s="772"/>
      <c r="U359" s="772"/>
      <c r="V359" s="772"/>
      <c r="W359" s="772"/>
      <c r="X359" s="772"/>
      <c r="Y359" s="772"/>
      <c r="Z359" s="772"/>
      <c r="AA359" s="772"/>
      <c r="AB359" s="772"/>
      <c r="AC359" s="772"/>
      <c r="AD359" s="772"/>
      <c r="AE359" s="772"/>
      <c r="AF359" s="772"/>
      <c r="AG359" s="772"/>
      <c r="AH359" s="772"/>
      <c r="AI359" s="772"/>
      <c r="AJ359" s="659"/>
      <c r="AK359" s="659"/>
      <c r="AL359" s="659"/>
    </row>
    <row r="360" spans="6:38" ht="41.45" customHeight="1" x14ac:dyDescent="0.3">
      <c r="F360" s="772"/>
      <c r="G360" s="772"/>
      <c r="H360" s="772"/>
      <c r="I360" s="772"/>
      <c r="J360" s="772"/>
      <c r="K360" s="772"/>
      <c r="L360" s="772"/>
      <c r="M360" s="772"/>
      <c r="N360" s="772"/>
      <c r="O360" s="772"/>
      <c r="P360" s="772"/>
      <c r="Q360" s="772"/>
      <c r="R360" s="772"/>
      <c r="S360" s="772"/>
      <c r="T360" s="772"/>
      <c r="U360" s="772"/>
      <c r="V360" s="772"/>
      <c r="W360" s="772"/>
      <c r="X360" s="772"/>
      <c r="Y360" s="772"/>
      <c r="Z360" s="772"/>
      <c r="AA360" s="772"/>
      <c r="AB360" s="772"/>
      <c r="AC360" s="772"/>
      <c r="AD360" s="772"/>
      <c r="AE360" s="772"/>
      <c r="AF360" s="772"/>
      <c r="AG360" s="772"/>
      <c r="AH360" s="772"/>
      <c r="AI360" s="772"/>
      <c r="AJ360" s="659"/>
      <c r="AK360" s="659"/>
      <c r="AL360" s="659"/>
    </row>
    <row r="361" spans="6:38" ht="21" x14ac:dyDescent="0.3">
      <c r="F361" s="655"/>
      <c r="G361" s="655"/>
      <c r="H361" s="655"/>
      <c r="I361" s="655"/>
      <c r="J361" s="655"/>
      <c r="K361" s="655"/>
      <c r="L361" s="655"/>
      <c r="M361" s="655"/>
      <c r="N361" s="655"/>
      <c r="O361" s="655"/>
      <c r="P361" s="655"/>
      <c r="Q361" s="655"/>
      <c r="R361" s="655"/>
      <c r="S361" s="655"/>
      <c r="T361" s="655"/>
      <c r="U361" s="655"/>
      <c r="V361" s="655"/>
      <c r="W361" s="655"/>
      <c r="X361" s="655"/>
      <c r="Y361" s="655"/>
      <c r="Z361" s="655"/>
      <c r="AA361" s="655"/>
      <c r="AB361" s="655"/>
      <c r="AC361" s="655"/>
      <c r="AD361" s="655"/>
      <c r="AE361" s="655"/>
      <c r="AF361" s="655"/>
      <c r="AG361" s="655"/>
      <c r="AH361" s="655"/>
      <c r="AI361" s="655"/>
      <c r="AJ361" s="655"/>
      <c r="AK361" s="655"/>
      <c r="AL361" s="655"/>
    </row>
    <row r="362" spans="6:38" ht="21" x14ac:dyDescent="0.3">
      <c r="F362" s="655"/>
      <c r="G362" s="655"/>
      <c r="H362" s="655"/>
      <c r="I362" s="655"/>
      <c r="J362" s="655"/>
      <c r="K362" s="655"/>
      <c r="L362" s="655"/>
      <c r="M362" s="655"/>
      <c r="N362" s="655"/>
      <c r="O362" s="655"/>
      <c r="P362" s="655"/>
      <c r="Q362" s="655"/>
      <c r="R362" s="655"/>
      <c r="S362" s="655"/>
      <c r="T362" s="655"/>
      <c r="U362" s="655"/>
      <c r="V362" s="655"/>
      <c r="W362" s="655"/>
      <c r="X362" s="655"/>
      <c r="Y362" s="655"/>
      <c r="Z362" s="655"/>
      <c r="AA362" s="655"/>
      <c r="AB362" s="655"/>
      <c r="AC362" s="655"/>
      <c r="AD362" s="655"/>
      <c r="AE362" s="655"/>
      <c r="AF362" s="655"/>
      <c r="AG362" s="655"/>
      <c r="AH362" s="655"/>
      <c r="AI362" s="655"/>
      <c r="AJ362" s="655"/>
      <c r="AK362" s="655"/>
      <c r="AL362" s="655"/>
    </row>
    <row r="363" spans="6:38" ht="21" x14ac:dyDescent="0.3">
      <c r="F363" s="655"/>
      <c r="G363" s="655"/>
      <c r="H363" s="655"/>
      <c r="I363" s="655"/>
      <c r="J363" s="655"/>
      <c r="K363" s="655"/>
      <c r="L363" s="655"/>
      <c r="M363" s="655"/>
      <c r="N363" s="655"/>
      <c r="O363" s="655"/>
      <c r="P363" s="655"/>
      <c r="Q363" s="655"/>
      <c r="R363" s="655"/>
      <c r="S363" s="655"/>
      <c r="T363" s="655"/>
      <c r="U363" s="655"/>
      <c r="V363" s="655"/>
      <c r="W363" s="655"/>
      <c r="X363" s="655"/>
      <c r="Y363" s="655"/>
      <c r="Z363" s="655"/>
      <c r="AA363" s="655"/>
      <c r="AB363" s="655"/>
      <c r="AC363" s="655"/>
      <c r="AD363" s="655"/>
      <c r="AE363" s="655"/>
      <c r="AF363" s="655"/>
      <c r="AG363" s="655"/>
      <c r="AH363" s="655"/>
      <c r="AI363" s="655"/>
      <c r="AJ363" s="655"/>
      <c r="AK363" s="655"/>
      <c r="AL363" s="655"/>
    </row>
    <row r="364" spans="6:38" ht="21" x14ac:dyDescent="0.3">
      <c r="F364" s="655"/>
      <c r="G364" s="655"/>
      <c r="H364" s="655"/>
      <c r="I364" s="655"/>
      <c r="J364" s="655"/>
      <c r="K364" s="655"/>
      <c r="L364" s="655"/>
      <c r="M364" s="655"/>
      <c r="N364" s="655"/>
      <c r="O364" s="655"/>
      <c r="P364" s="655"/>
      <c r="Q364" s="655"/>
      <c r="R364" s="655"/>
      <c r="S364" s="655"/>
      <c r="T364" s="655"/>
      <c r="U364" s="655"/>
      <c r="V364" s="655"/>
      <c r="W364" s="655"/>
      <c r="X364" s="655"/>
      <c r="Y364" s="655"/>
      <c r="Z364" s="655"/>
      <c r="AA364" s="655"/>
      <c r="AB364" s="655"/>
      <c r="AC364" s="655"/>
      <c r="AD364" s="655"/>
      <c r="AE364" s="655"/>
      <c r="AF364" s="655"/>
      <c r="AG364" s="655"/>
      <c r="AH364" s="655"/>
      <c r="AI364" s="655"/>
      <c r="AJ364" s="655"/>
      <c r="AK364" s="655"/>
      <c r="AL364" s="655"/>
    </row>
    <row r="365" spans="6:38" ht="21" x14ac:dyDescent="0.3">
      <c r="F365" s="655"/>
      <c r="G365" s="655"/>
      <c r="H365" s="655"/>
      <c r="I365" s="655"/>
      <c r="J365" s="655"/>
      <c r="K365" s="655"/>
      <c r="L365" s="655"/>
      <c r="M365" s="655"/>
      <c r="N365" s="655"/>
      <c r="O365" s="655"/>
      <c r="P365" s="655"/>
      <c r="Q365" s="655"/>
      <c r="R365" s="655"/>
      <c r="S365" s="655"/>
      <c r="T365" s="655"/>
      <c r="U365" s="655"/>
      <c r="V365" s="655"/>
      <c r="W365" s="655"/>
      <c r="X365" s="655"/>
      <c r="Y365" s="655"/>
      <c r="Z365" s="655"/>
      <c r="AA365" s="655"/>
      <c r="AB365" s="655"/>
      <c r="AC365" s="655"/>
      <c r="AD365" s="655"/>
      <c r="AE365" s="655"/>
      <c r="AF365" s="655"/>
      <c r="AG365" s="655"/>
      <c r="AH365" s="655"/>
      <c r="AI365" s="655"/>
      <c r="AJ365" s="655"/>
      <c r="AK365" s="655"/>
      <c r="AL365" s="655"/>
    </row>
    <row r="366" spans="6:38" ht="21" x14ac:dyDescent="0.3">
      <c r="F366" s="655"/>
      <c r="G366" s="655"/>
      <c r="H366" s="655"/>
      <c r="I366" s="655"/>
      <c r="J366" s="655"/>
      <c r="K366" s="655"/>
      <c r="L366" s="655"/>
      <c r="M366" s="655"/>
      <c r="N366" s="655"/>
      <c r="O366" s="655"/>
      <c r="P366" s="655"/>
      <c r="Q366" s="655"/>
      <c r="R366" s="655"/>
      <c r="S366" s="655"/>
      <c r="T366" s="655"/>
      <c r="U366" s="655"/>
      <c r="V366" s="655"/>
      <c r="W366" s="655"/>
      <c r="X366" s="655"/>
      <c r="Y366" s="655"/>
      <c r="Z366" s="655"/>
      <c r="AA366" s="655"/>
      <c r="AB366" s="655"/>
      <c r="AC366" s="655"/>
      <c r="AD366" s="655"/>
      <c r="AE366" s="655"/>
      <c r="AF366" s="655"/>
      <c r="AG366" s="655"/>
      <c r="AH366" s="655"/>
      <c r="AI366" s="655"/>
      <c r="AJ366" s="655"/>
      <c r="AK366" s="655"/>
      <c r="AL366" s="655"/>
    </row>
    <row r="371" spans="4:38" ht="39" customHeight="1" x14ac:dyDescent="0.35">
      <c r="D371" s="650"/>
      <c r="E371" s="650"/>
      <c r="F371" s="650"/>
      <c r="G371" s="650"/>
      <c r="H371" s="650"/>
      <c r="I371" s="650"/>
      <c r="J371" s="650"/>
      <c r="K371" s="650"/>
      <c r="L371" s="650"/>
      <c r="M371" s="650"/>
      <c r="N371" s="650"/>
      <c r="O371" s="650"/>
      <c r="P371" s="650"/>
      <c r="Q371" s="650"/>
      <c r="R371" s="650"/>
      <c r="S371" s="650"/>
      <c r="T371" s="650"/>
      <c r="U371" s="650"/>
      <c r="V371" s="650"/>
      <c r="W371" s="650"/>
      <c r="X371" s="650"/>
      <c r="Y371" s="650"/>
      <c r="Z371" s="650"/>
      <c r="AA371" s="650"/>
      <c r="AB371" s="650"/>
      <c r="AC371" s="650"/>
      <c r="AD371" s="650"/>
      <c r="AE371" s="650"/>
      <c r="AF371" s="650"/>
      <c r="AG371" s="650"/>
      <c r="AH371" s="650"/>
      <c r="AI371" s="650"/>
      <c r="AJ371" s="650"/>
      <c r="AK371" s="650"/>
    </row>
    <row r="372" spans="4:38" ht="39" customHeight="1" x14ac:dyDescent="0.3">
      <c r="D372" s="645"/>
      <c r="E372" s="645"/>
      <c r="F372" s="645"/>
      <c r="G372" s="645"/>
      <c r="H372" s="645"/>
      <c r="I372" s="645"/>
      <c r="J372" s="645"/>
      <c r="K372" s="645"/>
      <c r="L372" s="645"/>
      <c r="M372" s="645"/>
      <c r="N372" s="645"/>
      <c r="O372" s="645"/>
      <c r="P372" s="645"/>
      <c r="Q372" s="645"/>
      <c r="R372" s="645"/>
      <c r="S372" s="645"/>
      <c r="T372" s="645"/>
      <c r="U372" s="645"/>
      <c r="V372" s="645"/>
      <c r="W372" s="645"/>
      <c r="X372" s="645"/>
      <c r="Y372" s="645"/>
      <c r="Z372" s="645"/>
      <c r="AA372" s="645"/>
      <c r="AB372" s="645"/>
      <c r="AC372" s="645"/>
      <c r="AD372" s="645"/>
      <c r="AE372" s="645"/>
      <c r="AF372" s="645"/>
      <c r="AG372" s="645"/>
      <c r="AH372" s="645"/>
      <c r="AI372" s="645"/>
      <c r="AJ372" s="645"/>
      <c r="AK372" s="645"/>
    </row>
    <row r="373" spans="4:38" ht="39" customHeight="1" x14ac:dyDescent="0.3">
      <c r="D373" s="645"/>
      <c r="E373" s="645"/>
      <c r="F373" s="772" t="s">
        <v>934</v>
      </c>
      <c r="G373" s="772"/>
      <c r="H373" s="772"/>
      <c r="I373" s="772"/>
      <c r="J373" s="772"/>
      <c r="K373" s="772"/>
      <c r="L373" s="772"/>
      <c r="M373" s="772"/>
      <c r="N373" s="772"/>
      <c r="O373" s="772"/>
      <c r="P373" s="772"/>
      <c r="Q373" s="772"/>
      <c r="R373" s="772"/>
      <c r="S373" s="772"/>
      <c r="T373" s="772"/>
      <c r="U373" s="772"/>
      <c r="V373" s="772"/>
      <c r="W373" s="772"/>
      <c r="X373" s="772"/>
      <c r="Y373" s="772"/>
      <c r="Z373" s="772"/>
      <c r="AA373" s="772"/>
      <c r="AB373" s="772"/>
      <c r="AC373" s="772"/>
      <c r="AD373" s="772"/>
      <c r="AE373" s="772"/>
      <c r="AF373" s="772"/>
      <c r="AG373" s="772"/>
      <c r="AH373" s="772"/>
      <c r="AI373" s="772"/>
      <c r="AJ373" s="772"/>
      <c r="AK373" s="772"/>
      <c r="AL373" s="772"/>
    </row>
    <row r="374" spans="4:38" ht="39" customHeight="1" x14ac:dyDescent="0.3">
      <c r="D374" s="645"/>
      <c r="E374" s="645"/>
      <c r="F374" s="772"/>
      <c r="G374" s="772"/>
      <c r="H374" s="772"/>
      <c r="I374" s="772"/>
      <c r="J374" s="772"/>
      <c r="K374" s="772"/>
      <c r="L374" s="772"/>
      <c r="M374" s="772"/>
      <c r="N374" s="772"/>
      <c r="O374" s="772"/>
      <c r="P374" s="772"/>
      <c r="Q374" s="772"/>
      <c r="R374" s="772"/>
      <c r="S374" s="772"/>
      <c r="T374" s="772"/>
      <c r="U374" s="772"/>
      <c r="V374" s="772"/>
      <c r="W374" s="772"/>
      <c r="X374" s="772"/>
      <c r="Y374" s="772"/>
      <c r="Z374" s="772"/>
      <c r="AA374" s="772"/>
      <c r="AB374" s="772"/>
      <c r="AC374" s="772"/>
      <c r="AD374" s="772"/>
      <c r="AE374" s="772"/>
      <c r="AF374" s="772"/>
      <c r="AG374" s="772"/>
      <c r="AH374" s="772"/>
      <c r="AI374" s="772"/>
      <c r="AJ374" s="772"/>
      <c r="AK374" s="772"/>
      <c r="AL374" s="772"/>
    </row>
    <row r="375" spans="4:38" ht="39" customHeight="1" x14ac:dyDescent="0.3">
      <c r="D375" s="645"/>
      <c r="E375" s="645"/>
      <c r="F375" s="656"/>
      <c r="G375" s="645"/>
      <c r="H375" s="645"/>
      <c r="I375" s="645"/>
      <c r="J375" s="645"/>
      <c r="K375" s="645"/>
      <c r="L375" s="645"/>
      <c r="M375" s="645"/>
      <c r="N375" s="645"/>
      <c r="O375" s="645"/>
      <c r="P375" s="645"/>
      <c r="Q375" s="645"/>
      <c r="R375" s="645"/>
      <c r="S375" s="645"/>
      <c r="T375" s="645"/>
      <c r="U375" s="645"/>
      <c r="V375" s="645"/>
      <c r="W375" s="645"/>
      <c r="X375" s="645"/>
      <c r="Y375" s="645"/>
      <c r="Z375" s="645"/>
      <c r="AA375" s="645"/>
      <c r="AB375" s="645"/>
      <c r="AC375" s="645"/>
      <c r="AD375" s="645"/>
      <c r="AE375" s="645"/>
      <c r="AF375" s="645"/>
      <c r="AG375" s="645"/>
      <c r="AH375" s="645"/>
      <c r="AI375" s="645"/>
      <c r="AJ375" s="645"/>
      <c r="AK375" s="645"/>
    </row>
    <row r="376" spans="4:38" ht="39" customHeight="1" x14ac:dyDescent="0.4">
      <c r="D376" s="646"/>
      <c r="E376" s="645"/>
      <c r="F376" s="645"/>
      <c r="G376" s="645"/>
      <c r="H376" s="645"/>
      <c r="I376" s="645"/>
      <c r="J376" s="645"/>
      <c r="K376" s="645"/>
      <c r="L376" s="645"/>
      <c r="M376" s="645"/>
      <c r="N376" s="645"/>
      <c r="O376" s="645"/>
      <c r="P376" s="645"/>
      <c r="Q376" s="645"/>
      <c r="R376" s="645"/>
      <c r="S376" s="645"/>
      <c r="T376" s="645"/>
      <c r="U376" s="645"/>
      <c r="V376" s="645"/>
      <c r="W376" s="645"/>
      <c r="X376" s="645"/>
      <c r="Y376" s="645"/>
      <c r="Z376" s="645"/>
      <c r="AA376" s="645"/>
      <c r="AB376" s="645"/>
      <c r="AC376" s="645"/>
      <c r="AD376" s="645"/>
      <c r="AE376" s="645"/>
      <c r="AF376" s="645"/>
      <c r="AG376" s="645"/>
      <c r="AH376" s="645"/>
      <c r="AI376" s="645"/>
      <c r="AJ376" s="645"/>
      <c r="AK376" s="645"/>
    </row>
    <row r="377" spans="4:38" x14ac:dyDescent="0.3">
      <c r="D377" s="645"/>
      <c r="E377" s="645"/>
      <c r="F377" s="645"/>
      <c r="G377" s="645"/>
      <c r="H377" s="645"/>
      <c r="I377" s="645"/>
      <c r="J377" s="645"/>
      <c r="K377" s="645"/>
      <c r="L377" s="645"/>
      <c r="M377" s="645"/>
      <c r="N377" s="645"/>
      <c r="O377" s="645"/>
      <c r="P377" s="645"/>
      <c r="Q377" s="645"/>
      <c r="R377" s="645"/>
      <c r="S377" s="645"/>
      <c r="T377" s="645"/>
      <c r="U377" s="645"/>
      <c r="V377" s="645"/>
      <c r="W377" s="645"/>
      <c r="X377" s="645"/>
      <c r="Y377" s="645"/>
      <c r="Z377" s="645"/>
      <c r="AA377" s="645"/>
      <c r="AB377" s="645"/>
      <c r="AC377" s="645"/>
      <c r="AD377" s="645"/>
      <c r="AE377" s="645"/>
      <c r="AF377" s="645"/>
      <c r="AG377" s="645"/>
      <c r="AH377" s="645"/>
      <c r="AI377" s="645"/>
      <c r="AJ377" s="645"/>
      <c r="AK377" s="645"/>
    </row>
    <row r="378" spans="4:38" ht="62.25" customHeight="1" x14ac:dyDescent="0.35">
      <c r="D378" s="771" t="s">
        <v>936</v>
      </c>
      <c r="E378" s="771"/>
      <c r="F378" s="771"/>
      <c r="G378" s="771"/>
      <c r="H378" s="771"/>
      <c r="I378" s="771"/>
      <c r="J378" s="771"/>
      <c r="K378" s="771"/>
      <c r="L378" s="771"/>
      <c r="M378" s="771"/>
      <c r="N378" s="771"/>
      <c r="O378" s="771"/>
      <c r="P378" s="771"/>
      <c r="Q378" s="771"/>
      <c r="R378" s="771"/>
      <c r="S378" s="771"/>
      <c r="T378" s="771"/>
      <c r="U378" s="771"/>
      <c r="V378" s="771"/>
      <c r="W378" s="771"/>
      <c r="X378" s="771"/>
      <c r="Y378" s="771"/>
      <c r="Z378" s="771"/>
      <c r="AA378" s="771"/>
      <c r="AB378" s="771"/>
      <c r="AC378" s="771"/>
      <c r="AD378" s="771"/>
      <c r="AE378" s="771"/>
      <c r="AF378" s="771"/>
      <c r="AG378" s="771"/>
      <c r="AH378" s="771"/>
      <c r="AI378" s="771"/>
      <c r="AJ378" s="650"/>
      <c r="AK378" s="650"/>
    </row>
    <row r="379" spans="4:38" x14ac:dyDescent="0.3">
      <c r="D379" s="643"/>
      <c r="E379" s="643"/>
      <c r="F379" s="643"/>
      <c r="G379" s="643"/>
      <c r="H379" s="643"/>
      <c r="I379" s="643"/>
      <c r="J379" s="643"/>
      <c r="K379" s="643"/>
      <c r="L379" s="643"/>
      <c r="M379" s="643"/>
      <c r="N379" s="643"/>
      <c r="O379" s="643"/>
      <c r="P379" s="643"/>
      <c r="Q379" s="643"/>
      <c r="R379" s="643"/>
      <c r="S379" s="643"/>
      <c r="T379" s="643"/>
      <c r="U379" s="643"/>
      <c r="V379" s="643"/>
      <c r="W379" s="643"/>
      <c r="X379" s="643"/>
      <c r="Y379" s="643"/>
      <c r="Z379" s="643"/>
      <c r="AA379" s="643"/>
      <c r="AB379" s="643"/>
      <c r="AC379" s="643"/>
      <c r="AD379" s="643"/>
      <c r="AE379" s="643"/>
      <c r="AF379" s="643"/>
      <c r="AG379" s="643"/>
      <c r="AH379" s="643"/>
      <c r="AI379" s="643"/>
      <c r="AJ379" s="643"/>
    </row>
    <row r="380" spans="4:38" x14ac:dyDescent="0.3">
      <c r="D380" s="643"/>
      <c r="E380" s="643"/>
      <c r="F380" s="643"/>
      <c r="G380" s="643"/>
      <c r="H380" s="643"/>
      <c r="I380" s="643"/>
      <c r="J380" s="643"/>
      <c r="K380" s="643"/>
      <c r="L380" s="643"/>
      <c r="M380" s="643"/>
      <c r="N380" s="643"/>
      <c r="O380" s="643"/>
      <c r="P380" s="643"/>
      <c r="Q380" s="643"/>
      <c r="R380" s="643"/>
      <c r="S380" s="643"/>
      <c r="T380" s="643"/>
      <c r="U380" s="643"/>
      <c r="V380" s="643"/>
      <c r="W380" s="643"/>
      <c r="X380" s="643"/>
      <c r="Y380" s="643"/>
      <c r="Z380" s="643"/>
      <c r="AA380" s="643"/>
      <c r="AB380" s="643"/>
      <c r="AC380" s="643"/>
      <c r="AD380" s="643"/>
      <c r="AE380" s="643"/>
      <c r="AF380" s="643"/>
      <c r="AG380" s="643"/>
      <c r="AH380" s="643"/>
      <c r="AI380" s="643"/>
      <c r="AJ380" s="643"/>
    </row>
    <row r="381" spans="4:38" x14ac:dyDescent="0.3">
      <c r="D381" s="643"/>
      <c r="E381" s="643"/>
      <c r="F381" s="643"/>
      <c r="G381" s="643"/>
      <c r="H381" s="643"/>
      <c r="I381" s="643"/>
      <c r="J381" s="643"/>
      <c r="K381" s="643"/>
      <c r="L381" s="643"/>
      <c r="M381" s="643"/>
      <c r="N381" s="643"/>
      <c r="O381" s="643"/>
      <c r="P381" s="643"/>
      <c r="Q381" s="643"/>
      <c r="R381" s="643"/>
      <c r="S381" s="643"/>
      <c r="T381" s="643"/>
      <c r="U381" s="643"/>
      <c r="V381" s="643"/>
      <c r="W381" s="643"/>
      <c r="X381" s="643"/>
      <c r="Y381" s="643"/>
      <c r="Z381" s="643"/>
      <c r="AA381" s="643"/>
      <c r="AB381" s="643"/>
      <c r="AC381" s="643"/>
      <c r="AD381" s="643"/>
      <c r="AE381" s="643"/>
      <c r="AF381" s="643"/>
      <c r="AG381" s="643"/>
      <c r="AH381" s="643"/>
      <c r="AI381" s="643"/>
      <c r="AJ381" s="643"/>
    </row>
    <row r="382" spans="4:38" x14ac:dyDescent="0.3">
      <c r="D382" s="643"/>
      <c r="E382" s="643"/>
      <c r="F382" s="643"/>
      <c r="G382" s="643"/>
      <c r="H382" s="643"/>
      <c r="I382" s="643"/>
      <c r="J382" s="643"/>
      <c r="K382" s="643"/>
      <c r="L382" s="643"/>
      <c r="M382" s="643"/>
      <c r="N382" s="643"/>
      <c r="O382" s="643"/>
      <c r="P382" s="643"/>
      <c r="Q382" s="643"/>
      <c r="R382" s="643"/>
      <c r="S382" s="643"/>
      <c r="T382" s="643"/>
      <c r="U382" s="643"/>
      <c r="V382" s="643"/>
      <c r="W382" s="643"/>
      <c r="X382" s="643"/>
      <c r="Y382" s="643"/>
      <c r="Z382" s="643"/>
      <c r="AA382" s="643"/>
      <c r="AB382" s="643"/>
      <c r="AC382" s="643"/>
      <c r="AD382" s="643"/>
      <c r="AE382" s="643"/>
      <c r="AF382" s="643"/>
      <c r="AG382" s="643"/>
      <c r="AH382" s="643"/>
      <c r="AI382" s="643"/>
      <c r="AJ382" s="643"/>
    </row>
    <row r="383" spans="4:38" ht="26.25" x14ac:dyDescent="0.4">
      <c r="D383" s="643"/>
      <c r="E383" s="643"/>
      <c r="F383" s="643"/>
      <c r="G383" s="647"/>
      <c r="H383" s="643"/>
      <c r="I383" s="643"/>
      <c r="J383" s="643"/>
      <c r="K383" s="643"/>
      <c r="L383" s="643"/>
      <c r="M383" s="643"/>
      <c r="N383" s="643"/>
      <c r="O383" s="643"/>
      <c r="P383" s="643"/>
      <c r="Q383" s="643"/>
      <c r="R383" s="643"/>
      <c r="S383" s="643"/>
      <c r="T383" s="643"/>
      <c r="U383" s="643"/>
      <c r="V383" s="643"/>
      <c r="W383" s="643"/>
      <c r="X383" s="643"/>
      <c r="Y383" s="643"/>
      <c r="Z383" s="643"/>
      <c r="AA383" s="643"/>
      <c r="AB383" s="643"/>
      <c r="AC383" s="643"/>
      <c r="AD383" s="643"/>
      <c r="AE383" s="643"/>
      <c r="AF383" s="643"/>
      <c r="AG383" s="643"/>
      <c r="AH383" s="643"/>
      <c r="AI383" s="643"/>
      <c r="AJ383" s="643"/>
    </row>
    <row r="384" spans="4:38" x14ac:dyDescent="0.3">
      <c r="D384" s="643"/>
      <c r="E384" s="643"/>
      <c r="F384" s="643"/>
      <c r="G384" s="643"/>
      <c r="H384" s="643"/>
      <c r="I384" s="643"/>
      <c r="J384" s="643"/>
      <c r="K384" s="643"/>
      <c r="L384" s="643"/>
      <c r="M384" s="643"/>
      <c r="N384" s="643"/>
      <c r="O384" s="643"/>
      <c r="P384" s="643"/>
      <c r="Q384" s="643"/>
      <c r="R384" s="643"/>
      <c r="S384" s="643"/>
      <c r="T384" s="643"/>
      <c r="U384" s="643"/>
      <c r="V384" s="643"/>
      <c r="W384" s="643"/>
      <c r="X384" s="643"/>
      <c r="Y384" s="643"/>
      <c r="Z384" s="643"/>
      <c r="AA384" s="643"/>
      <c r="AB384" s="643"/>
      <c r="AC384" s="643"/>
      <c r="AD384" s="643"/>
      <c r="AE384" s="643"/>
      <c r="AF384" s="643"/>
      <c r="AG384" s="643"/>
      <c r="AH384" s="643"/>
      <c r="AI384" s="643"/>
      <c r="AJ384" s="643"/>
    </row>
    <row r="385" spans="4:37" x14ac:dyDescent="0.3">
      <c r="D385" s="643"/>
      <c r="E385" s="643"/>
      <c r="G385" s="643"/>
      <c r="H385" s="643"/>
      <c r="I385" s="643"/>
      <c r="J385" s="643"/>
      <c r="K385" s="643"/>
      <c r="L385" s="643"/>
      <c r="M385" s="643"/>
      <c r="N385" s="643"/>
      <c r="O385" s="643"/>
      <c r="P385" s="643"/>
      <c r="Q385" s="643"/>
      <c r="R385" s="643"/>
      <c r="S385" s="643"/>
      <c r="T385" s="643"/>
      <c r="U385" s="643"/>
      <c r="V385" s="643"/>
      <c r="W385" s="643"/>
      <c r="X385" s="643"/>
      <c r="Y385" s="643"/>
      <c r="Z385" s="643"/>
      <c r="AA385" s="643"/>
      <c r="AB385" s="643"/>
      <c r="AC385" s="643"/>
      <c r="AD385" s="643"/>
      <c r="AE385" s="643"/>
      <c r="AF385" s="643"/>
      <c r="AG385" s="643"/>
      <c r="AH385" s="643"/>
      <c r="AI385" s="643"/>
      <c r="AJ385" s="643"/>
    </row>
    <row r="386" spans="4:37" x14ac:dyDescent="0.3">
      <c r="D386" s="824" t="s">
        <v>882</v>
      </c>
      <c r="E386" s="824"/>
      <c r="F386" s="824"/>
      <c r="G386" s="824"/>
      <c r="H386" s="824"/>
      <c r="I386" s="824"/>
      <c r="J386" s="824"/>
      <c r="K386" s="824"/>
      <c r="L386" s="824"/>
      <c r="M386" s="824"/>
      <c r="N386" s="824"/>
      <c r="O386" s="824"/>
      <c r="P386" s="824"/>
      <c r="Q386" s="824"/>
      <c r="R386" s="824"/>
      <c r="S386" s="824"/>
      <c r="T386" s="824"/>
      <c r="U386" s="824"/>
      <c r="V386" s="824"/>
      <c r="W386" s="824"/>
      <c r="X386" s="824"/>
      <c r="Y386" s="824"/>
      <c r="Z386" s="824"/>
      <c r="AA386" s="824"/>
      <c r="AB386" s="824"/>
      <c r="AC386" s="824"/>
      <c r="AD386" s="824"/>
      <c r="AE386" s="824"/>
      <c r="AF386" s="824"/>
      <c r="AG386" s="824"/>
      <c r="AH386" s="824"/>
      <c r="AI386" s="824"/>
      <c r="AJ386" s="824"/>
    </row>
    <row r="387" spans="4:37" ht="49.15" customHeight="1" x14ac:dyDescent="0.35">
      <c r="D387" s="771" t="s">
        <v>902</v>
      </c>
      <c r="E387" s="771"/>
      <c r="F387" s="771"/>
      <c r="G387" s="771"/>
      <c r="H387" s="771"/>
      <c r="I387" s="771"/>
      <c r="J387" s="771"/>
      <c r="K387" s="771"/>
      <c r="L387" s="771"/>
      <c r="M387" s="771"/>
      <c r="N387" s="771"/>
      <c r="O387" s="771"/>
      <c r="P387" s="771"/>
      <c r="Q387" s="771"/>
      <c r="R387" s="771"/>
      <c r="S387" s="771"/>
      <c r="T387" s="771"/>
      <c r="U387" s="771"/>
      <c r="V387" s="771"/>
      <c r="W387" s="771"/>
      <c r="X387" s="771"/>
      <c r="Y387" s="771"/>
      <c r="Z387" s="771"/>
      <c r="AA387" s="771"/>
      <c r="AB387" s="771"/>
      <c r="AC387" s="771"/>
      <c r="AD387" s="771"/>
      <c r="AE387" s="771"/>
      <c r="AF387" s="771"/>
      <c r="AG387" s="771"/>
      <c r="AH387" s="771"/>
      <c r="AI387" s="771"/>
      <c r="AJ387" s="664"/>
      <c r="AK387" s="664"/>
    </row>
    <row r="388" spans="4:37" x14ac:dyDescent="0.3">
      <c r="D388" s="643"/>
      <c r="E388" s="643"/>
      <c r="F388" s="643"/>
      <c r="G388" s="643"/>
      <c r="H388" s="643"/>
      <c r="I388" s="643"/>
      <c r="J388" s="643"/>
      <c r="K388" s="643"/>
      <c r="L388" s="643"/>
      <c r="M388" s="643"/>
      <c r="N388" s="643"/>
      <c r="O388" s="643"/>
      <c r="P388" s="643"/>
      <c r="Q388" s="643"/>
      <c r="R388" s="643"/>
      <c r="S388" s="643"/>
      <c r="T388" s="643"/>
      <c r="U388" s="643"/>
      <c r="V388" s="643"/>
      <c r="W388" s="643"/>
      <c r="X388" s="643"/>
      <c r="Y388" s="643"/>
      <c r="Z388" s="643"/>
      <c r="AA388" s="643"/>
      <c r="AB388" s="643"/>
      <c r="AC388" s="643"/>
      <c r="AD388" s="643"/>
      <c r="AE388" s="643"/>
      <c r="AF388" s="643"/>
      <c r="AG388" s="643"/>
      <c r="AH388" s="643"/>
      <c r="AI388" s="643"/>
      <c r="AJ388" s="643"/>
    </row>
    <row r="389" spans="4:37" x14ac:dyDescent="0.3">
      <c r="D389" s="643"/>
      <c r="E389" s="643"/>
      <c r="F389" s="643"/>
      <c r="G389" s="643"/>
      <c r="H389" s="643"/>
      <c r="I389" s="643"/>
      <c r="J389" s="643"/>
      <c r="K389" s="643"/>
      <c r="L389" s="643"/>
      <c r="M389" s="643"/>
      <c r="N389" s="643"/>
      <c r="O389" s="643"/>
      <c r="P389" s="643"/>
      <c r="Q389" s="643"/>
      <c r="R389" s="643"/>
      <c r="S389" s="643"/>
      <c r="T389" s="643"/>
      <c r="U389" s="643"/>
      <c r="V389" s="643"/>
      <c r="W389" s="643"/>
      <c r="X389" s="643"/>
      <c r="Y389" s="643"/>
      <c r="Z389" s="643"/>
      <c r="AA389" s="643"/>
      <c r="AB389" s="643"/>
      <c r="AC389" s="643"/>
      <c r="AD389" s="643"/>
      <c r="AE389" s="643"/>
      <c r="AF389" s="643"/>
      <c r="AG389" s="643"/>
      <c r="AH389" s="643"/>
      <c r="AI389" s="643"/>
      <c r="AJ389" s="643"/>
    </row>
    <row r="390" spans="4:37" x14ac:dyDescent="0.3">
      <c r="D390" s="643"/>
      <c r="E390" s="643"/>
      <c r="F390" s="643"/>
      <c r="G390" s="643"/>
      <c r="H390" s="643"/>
      <c r="I390" s="643"/>
      <c r="J390" s="643"/>
      <c r="K390" s="643"/>
      <c r="L390" s="643"/>
      <c r="M390" s="643"/>
      <c r="N390" s="643"/>
      <c r="O390" s="643"/>
      <c r="P390" s="643"/>
      <c r="Q390" s="643"/>
      <c r="R390" s="643"/>
      <c r="S390" s="643"/>
      <c r="T390" s="643"/>
      <c r="U390" s="643"/>
      <c r="V390" s="643"/>
      <c r="W390" s="643"/>
      <c r="X390" s="643"/>
      <c r="Y390" s="643"/>
      <c r="Z390" s="643"/>
      <c r="AA390" s="643"/>
      <c r="AB390" s="643"/>
      <c r="AC390" s="643"/>
      <c r="AD390" s="643"/>
      <c r="AE390" s="643"/>
      <c r="AF390" s="643"/>
      <c r="AG390" s="643"/>
      <c r="AH390" s="643"/>
      <c r="AI390" s="643"/>
      <c r="AJ390" s="643"/>
    </row>
    <row r="391" spans="4:37" x14ac:dyDescent="0.3">
      <c r="D391" s="643"/>
      <c r="E391" s="643"/>
      <c r="F391" s="643"/>
      <c r="G391" s="643"/>
      <c r="H391" s="643"/>
      <c r="I391" s="643"/>
      <c r="J391" s="643"/>
      <c r="K391" s="643"/>
      <c r="L391" s="643"/>
      <c r="M391" s="643"/>
      <c r="N391" s="643"/>
      <c r="O391" s="643"/>
      <c r="P391" s="643"/>
      <c r="Q391" s="643"/>
      <c r="R391" s="643"/>
      <c r="S391" s="643"/>
      <c r="T391" s="643"/>
      <c r="U391" s="643"/>
      <c r="V391" s="643"/>
      <c r="W391" s="643"/>
      <c r="X391" s="643"/>
      <c r="Y391" s="643"/>
      <c r="Z391" s="643"/>
      <c r="AA391" s="643"/>
      <c r="AB391" s="643"/>
      <c r="AC391" s="643"/>
      <c r="AD391" s="643"/>
      <c r="AE391" s="643"/>
      <c r="AF391" s="643"/>
      <c r="AG391" s="643"/>
      <c r="AH391" s="643"/>
      <c r="AI391" s="643"/>
      <c r="AJ391" s="643"/>
    </row>
    <row r="392" spans="4:37" x14ac:dyDescent="0.3">
      <c r="D392" s="643"/>
      <c r="E392" s="643"/>
      <c r="F392" s="643"/>
      <c r="G392" s="643"/>
      <c r="H392" s="643"/>
      <c r="I392" s="643"/>
      <c r="J392" s="643"/>
      <c r="K392" s="643"/>
      <c r="L392" s="643"/>
      <c r="M392" s="643"/>
      <c r="N392" s="643"/>
      <c r="O392" s="643"/>
      <c r="P392" s="643"/>
      <c r="Q392" s="643"/>
      <c r="R392" s="643"/>
      <c r="S392" s="643"/>
      <c r="T392" s="643"/>
      <c r="U392" s="643"/>
      <c r="V392" s="643"/>
      <c r="W392" s="643"/>
      <c r="X392" s="643"/>
      <c r="Y392" s="643"/>
      <c r="Z392" s="643"/>
      <c r="AA392" s="643"/>
      <c r="AB392" s="643"/>
      <c r="AC392" s="643"/>
      <c r="AD392" s="643"/>
      <c r="AE392" s="643"/>
      <c r="AF392" s="643"/>
      <c r="AG392" s="643"/>
      <c r="AH392" s="643"/>
      <c r="AI392" s="643"/>
      <c r="AJ392" s="643"/>
    </row>
    <row r="393" spans="4:37" x14ac:dyDescent="0.3">
      <c r="D393" s="643"/>
      <c r="E393" s="643"/>
      <c r="F393" s="643"/>
      <c r="G393" s="643"/>
      <c r="H393" s="643"/>
      <c r="I393" s="643"/>
      <c r="J393" s="643"/>
      <c r="K393" s="643"/>
      <c r="L393" s="643"/>
      <c r="M393" s="643"/>
      <c r="N393" s="643"/>
      <c r="O393" s="643"/>
      <c r="P393" s="643"/>
      <c r="Q393" s="643"/>
      <c r="R393" s="643"/>
      <c r="S393" s="643"/>
      <c r="T393" s="643"/>
      <c r="U393" s="643"/>
      <c r="V393" s="643"/>
      <c r="W393" s="643"/>
      <c r="X393" s="643"/>
      <c r="Y393" s="643"/>
      <c r="Z393" s="643"/>
      <c r="AA393" s="643"/>
      <c r="AB393" s="643"/>
      <c r="AC393" s="643"/>
      <c r="AD393" s="643"/>
      <c r="AE393" s="643"/>
      <c r="AF393" s="643"/>
      <c r="AG393" s="643"/>
      <c r="AH393" s="643"/>
      <c r="AI393" s="643"/>
      <c r="AJ393" s="643"/>
    </row>
    <row r="394" spans="4:37" x14ac:dyDescent="0.3">
      <c r="D394" s="643"/>
      <c r="E394" s="643"/>
      <c r="F394" s="643"/>
      <c r="G394" s="643"/>
      <c r="H394" s="643"/>
      <c r="I394" s="643"/>
      <c r="J394" s="643"/>
      <c r="K394" s="643"/>
      <c r="L394" s="643"/>
      <c r="M394" s="643"/>
      <c r="N394" s="643"/>
      <c r="O394" s="643"/>
      <c r="P394" s="643"/>
      <c r="Q394" s="643"/>
      <c r="R394" s="643"/>
      <c r="S394" s="643"/>
      <c r="T394" s="643"/>
      <c r="U394" s="643"/>
      <c r="V394" s="643"/>
      <c r="W394" s="643"/>
      <c r="X394" s="643"/>
      <c r="Y394" s="643"/>
      <c r="Z394" s="643"/>
      <c r="AA394" s="643"/>
      <c r="AB394" s="643"/>
      <c r="AC394" s="643"/>
      <c r="AD394" s="643"/>
      <c r="AE394" s="643"/>
      <c r="AF394" s="643"/>
      <c r="AG394" s="643"/>
      <c r="AH394" s="643"/>
      <c r="AI394" s="643"/>
      <c r="AJ394" s="643"/>
    </row>
    <row r="395" spans="4:37" x14ac:dyDescent="0.3">
      <c r="D395" s="643"/>
      <c r="E395" s="643"/>
      <c r="F395" s="643"/>
      <c r="G395" s="643"/>
      <c r="H395" s="643"/>
      <c r="I395" s="643"/>
      <c r="J395" s="643"/>
      <c r="K395" s="643"/>
      <c r="L395" s="643"/>
      <c r="M395" s="643"/>
      <c r="N395" s="643"/>
      <c r="O395" s="643"/>
      <c r="P395" s="643"/>
      <c r="Q395" s="643"/>
      <c r="R395" s="643"/>
      <c r="S395" s="643"/>
      <c r="T395" s="643"/>
      <c r="U395" s="643"/>
      <c r="V395" s="643"/>
      <c r="W395" s="643"/>
      <c r="X395" s="643"/>
      <c r="Y395" s="643"/>
      <c r="Z395" s="643"/>
      <c r="AA395" s="643"/>
      <c r="AB395" s="643"/>
      <c r="AC395" s="643"/>
      <c r="AD395" s="643"/>
      <c r="AE395" s="643"/>
      <c r="AF395" s="643"/>
      <c r="AG395" s="643"/>
      <c r="AH395" s="643"/>
      <c r="AI395" s="643"/>
      <c r="AJ395" s="643"/>
    </row>
    <row r="396" spans="4:37" x14ac:dyDescent="0.3">
      <c r="D396" s="643"/>
      <c r="E396" s="643"/>
      <c r="F396" s="643"/>
      <c r="G396" s="643"/>
      <c r="H396" s="643"/>
      <c r="I396" s="643"/>
      <c r="J396" s="643"/>
      <c r="K396" s="643"/>
      <c r="L396" s="643"/>
      <c r="M396" s="643"/>
      <c r="N396" s="643"/>
      <c r="O396" s="643"/>
      <c r="P396" s="643"/>
      <c r="Q396" s="643"/>
      <c r="R396" s="643"/>
      <c r="S396" s="643"/>
      <c r="T396" s="643"/>
      <c r="U396" s="643"/>
      <c r="V396" s="643"/>
      <c r="W396" s="643"/>
      <c r="X396" s="643"/>
      <c r="Y396" s="643"/>
      <c r="Z396" s="643"/>
      <c r="AA396" s="643"/>
      <c r="AB396" s="643"/>
      <c r="AC396" s="643"/>
      <c r="AD396" s="643"/>
      <c r="AE396" s="643"/>
      <c r="AF396" s="643"/>
      <c r="AG396" s="643"/>
      <c r="AH396" s="643"/>
      <c r="AI396" s="643"/>
      <c r="AJ396" s="643"/>
    </row>
    <row r="397" spans="4:37" ht="40.15" customHeight="1" x14ac:dyDescent="0.35">
      <c r="D397" s="771" t="s">
        <v>888</v>
      </c>
      <c r="E397" s="771"/>
      <c r="F397" s="771"/>
      <c r="G397" s="771"/>
      <c r="H397" s="771"/>
      <c r="I397" s="771"/>
      <c r="J397" s="771"/>
      <c r="K397" s="771"/>
      <c r="L397" s="771"/>
      <c r="M397" s="771"/>
      <c r="N397" s="771"/>
      <c r="O397" s="771"/>
      <c r="P397" s="771"/>
      <c r="Q397" s="771"/>
      <c r="R397" s="771"/>
      <c r="S397" s="771"/>
      <c r="T397" s="771"/>
      <c r="U397" s="771"/>
      <c r="V397" s="771"/>
      <c r="W397" s="771"/>
      <c r="X397" s="771"/>
      <c r="Y397" s="771"/>
      <c r="Z397" s="771"/>
      <c r="AA397" s="771"/>
      <c r="AB397" s="771"/>
      <c r="AC397" s="771"/>
      <c r="AD397" s="771"/>
      <c r="AE397" s="771"/>
      <c r="AF397" s="771"/>
      <c r="AG397" s="771"/>
      <c r="AH397" s="771"/>
      <c r="AI397" s="771"/>
      <c r="AJ397" s="650"/>
      <c r="AK397" s="650"/>
    </row>
    <row r="398" spans="4:37" x14ac:dyDescent="0.3">
      <c r="D398" s="645"/>
      <c r="E398" s="645"/>
      <c r="F398" s="645"/>
      <c r="G398" s="645"/>
      <c r="H398" s="645"/>
      <c r="I398" s="645"/>
      <c r="J398" s="645"/>
      <c r="K398" s="645"/>
      <c r="L398" s="645"/>
      <c r="M398" s="645"/>
      <c r="N398" s="645"/>
      <c r="O398" s="645"/>
      <c r="P398" s="645"/>
      <c r="Q398" s="645"/>
      <c r="R398" s="645"/>
      <c r="S398" s="645"/>
      <c r="T398" s="645"/>
      <c r="U398" s="645"/>
      <c r="V398" s="645"/>
      <c r="W398" s="645"/>
      <c r="X398" s="645"/>
      <c r="Y398" s="645"/>
      <c r="Z398" s="645"/>
      <c r="AA398" s="645"/>
      <c r="AB398" s="645"/>
      <c r="AC398" s="645"/>
      <c r="AD398" s="645"/>
      <c r="AE398" s="645"/>
      <c r="AF398" s="645"/>
      <c r="AG398" s="645"/>
      <c r="AH398" s="645"/>
      <c r="AI398" s="645"/>
      <c r="AJ398" s="645"/>
      <c r="AK398" s="645"/>
    </row>
    <row r="399" spans="4:37" x14ac:dyDescent="0.3">
      <c r="D399" s="645"/>
      <c r="E399" s="645"/>
      <c r="F399" s="645"/>
      <c r="G399" s="645"/>
      <c r="H399" s="645"/>
      <c r="I399" s="645"/>
      <c r="J399" s="645"/>
      <c r="K399" s="645"/>
      <c r="L399" s="645"/>
      <c r="M399" s="645"/>
      <c r="N399" s="645"/>
      <c r="O399" s="645"/>
      <c r="P399" s="645"/>
      <c r="Q399" s="645"/>
      <c r="R399" s="645"/>
      <c r="S399" s="645"/>
      <c r="T399" s="645"/>
      <c r="U399" s="645"/>
      <c r="V399" s="645"/>
      <c r="W399" s="645"/>
      <c r="X399" s="645"/>
      <c r="Y399" s="645"/>
      <c r="Z399" s="645"/>
      <c r="AA399" s="645"/>
      <c r="AB399" s="645"/>
      <c r="AC399" s="645"/>
      <c r="AD399" s="645"/>
      <c r="AE399" s="645"/>
      <c r="AF399" s="645"/>
      <c r="AG399" s="645"/>
      <c r="AH399" s="645"/>
      <c r="AI399" s="645"/>
      <c r="AJ399" s="645"/>
      <c r="AK399" s="645"/>
    </row>
    <row r="400" spans="4:37" x14ac:dyDescent="0.3">
      <c r="D400" s="645"/>
      <c r="E400" s="645"/>
      <c r="F400" s="645"/>
      <c r="G400" s="645"/>
      <c r="H400" s="645"/>
      <c r="I400" s="645"/>
      <c r="J400" s="645"/>
      <c r="K400" s="645"/>
      <c r="L400" s="645"/>
      <c r="M400" s="645"/>
      <c r="N400" s="645"/>
      <c r="O400" s="645"/>
      <c r="P400" s="645"/>
      <c r="Q400" s="645"/>
      <c r="R400" s="645"/>
      <c r="S400" s="645"/>
      <c r="T400" s="645"/>
      <c r="U400" s="645"/>
      <c r="V400" s="645"/>
      <c r="W400" s="645"/>
      <c r="X400" s="645"/>
      <c r="Y400" s="645"/>
      <c r="Z400" s="645"/>
      <c r="AA400" s="645"/>
      <c r="AB400" s="645"/>
      <c r="AC400" s="645"/>
      <c r="AD400" s="645"/>
      <c r="AE400" s="645"/>
      <c r="AF400" s="645"/>
      <c r="AG400" s="645"/>
      <c r="AH400" s="645"/>
      <c r="AI400" s="645"/>
      <c r="AJ400" s="645"/>
      <c r="AK400" s="645"/>
    </row>
    <row r="401" spans="4:37" x14ac:dyDescent="0.3">
      <c r="D401" s="645"/>
      <c r="E401" s="645"/>
      <c r="F401" s="645"/>
      <c r="G401" s="645"/>
      <c r="H401" s="645"/>
      <c r="I401" s="645"/>
      <c r="J401" s="645"/>
      <c r="K401" s="645"/>
      <c r="L401" s="645"/>
      <c r="M401" s="645"/>
      <c r="N401" s="645"/>
      <c r="O401" s="645"/>
      <c r="P401" s="645"/>
      <c r="Q401" s="645"/>
      <c r="R401" s="645"/>
      <c r="S401" s="645"/>
      <c r="T401" s="645"/>
      <c r="U401" s="645"/>
      <c r="V401" s="645"/>
      <c r="W401" s="645"/>
      <c r="X401" s="645"/>
      <c r="Y401" s="645"/>
      <c r="Z401" s="645"/>
      <c r="AA401" s="645"/>
      <c r="AB401" s="645"/>
      <c r="AC401" s="645"/>
      <c r="AD401" s="645"/>
      <c r="AE401" s="645"/>
      <c r="AF401" s="645"/>
      <c r="AG401" s="645"/>
      <c r="AH401" s="645"/>
      <c r="AI401" s="645"/>
      <c r="AJ401" s="645"/>
      <c r="AK401" s="645"/>
    </row>
    <row r="402" spans="4:37" x14ac:dyDescent="0.3">
      <c r="D402" s="645"/>
      <c r="E402" s="645"/>
      <c r="F402" s="645"/>
      <c r="G402" s="645"/>
      <c r="H402" s="645"/>
      <c r="I402" s="645"/>
      <c r="J402" s="645"/>
      <c r="K402" s="645"/>
      <c r="L402" s="645"/>
      <c r="M402" s="645"/>
      <c r="N402" s="645"/>
      <c r="O402" s="645"/>
      <c r="P402" s="645"/>
      <c r="Q402" s="645"/>
      <c r="R402" s="645"/>
      <c r="S402" s="645"/>
      <c r="T402" s="645"/>
      <c r="U402" s="645"/>
      <c r="V402" s="645"/>
      <c r="W402" s="645"/>
      <c r="X402" s="645"/>
      <c r="Y402" s="645"/>
      <c r="Z402" s="645"/>
      <c r="AA402" s="645"/>
      <c r="AB402" s="645"/>
      <c r="AC402" s="645"/>
      <c r="AD402" s="645"/>
      <c r="AE402" s="645"/>
      <c r="AF402" s="645"/>
      <c r="AG402" s="645"/>
      <c r="AH402" s="645"/>
      <c r="AI402" s="645"/>
      <c r="AJ402" s="645"/>
      <c r="AK402" s="645"/>
    </row>
    <row r="403" spans="4:37" x14ac:dyDescent="0.3">
      <c r="D403" s="645"/>
      <c r="E403" s="645"/>
      <c r="F403" s="645"/>
      <c r="G403" s="645"/>
      <c r="H403" s="645"/>
      <c r="I403" s="645"/>
      <c r="J403" s="645"/>
      <c r="K403" s="645"/>
      <c r="L403" s="645"/>
      <c r="M403" s="645"/>
      <c r="N403" s="645"/>
      <c r="O403" s="645"/>
      <c r="P403" s="645"/>
      <c r="Q403" s="645"/>
      <c r="R403" s="645"/>
      <c r="S403" s="645"/>
      <c r="T403" s="645"/>
      <c r="U403" s="645"/>
      <c r="V403" s="645"/>
      <c r="W403" s="645"/>
      <c r="X403" s="645"/>
      <c r="Y403" s="645"/>
      <c r="Z403" s="645"/>
      <c r="AA403" s="645"/>
      <c r="AB403" s="645"/>
      <c r="AC403" s="645"/>
      <c r="AD403" s="645"/>
      <c r="AE403" s="645"/>
      <c r="AF403" s="645"/>
      <c r="AG403" s="645"/>
      <c r="AH403" s="645"/>
      <c r="AI403" s="645"/>
      <c r="AJ403" s="645"/>
      <c r="AK403" s="645"/>
    </row>
    <row r="404" spans="4:37" x14ac:dyDescent="0.3">
      <c r="D404" s="645"/>
      <c r="E404" s="645"/>
      <c r="F404" s="645"/>
      <c r="G404" s="645"/>
      <c r="H404" s="645"/>
      <c r="I404" s="645"/>
      <c r="J404" s="645"/>
      <c r="K404" s="645"/>
      <c r="L404" s="645"/>
      <c r="M404" s="645"/>
      <c r="N404" s="645"/>
      <c r="O404" s="645"/>
      <c r="P404" s="645"/>
      <c r="Q404" s="645"/>
      <c r="R404" s="645"/>
      <c r="S404" s="645"/>
      <c r="T404" s="645"/>
      <c r="U404" s="645"/>
      <c r="V404" s="645"/>
      <c r="W404" s="645"/>
      <c r="X404" s="645"/>
      <c r="Y404" s="645"/>
      <c r="Z404" s="645"/>
      <c r="AA404" s="645"/>
      <c r="AB404" s="645"/>
      <c r="AC404" s="645"/>
      <c r="AD404" s="645"/>
      <c r="AE404" s="645"/>
      <c r="AF404" s="645"/>
      <c r="AG404" s="645"/>
      <c r="AH404" s="645"/>
      <c r="AI404" s="645"/>
      <c r="AJ404" s="645"/>
      <c r="AK404" s="645"/>
    </row>
    <row r="405" spans="4:37" x14ac:dyDescent="0.3">
      <c r="D405" s="645"/>
      <c r="E405" s="645"/>
      <c r="F405" s="645"/>
      <c r="G405" s="645"/>
      <c r="H405" s="645"/>
      <c r="I405" s="645"/>
      <c r="J405" s="645"/>
      <c r="K405" s="645"/>
      <c r="L405" s="645"/>
      <c r="M405" s="645"/>
      <c r="N405" s="645"/>
      <c r="O405" s="645"/>
      <c r="P405" s="645"/>
      <c r="Q405" s="645"/>
      <c r="R405" s="645"/>
      <c r="S405" s="645"/>
      <c r="T405" s="645"/>
      <c r="U405" s="645"/>
      <c r="V405" s="645"/>
      <c r="W405" s="645"/>
      <c r="X405" s="645"/>
      <c r="Y405" s="645"/>
      <c r="Z405" s="645"/>
      <c r="AA405" s="645"/>
      <c r="AB405" s="645"/>
      <c r="AC405" s="645"/>
      <c r="AD405" s="645"/>
      <c r="AE405" s="645"/>
      <c r="AF405" s="645"/>
      <c r="AG405" s="645"/>
      <c r="AH405" s="645"/>
      <c r="AI405" s="645"/>
      <c r="AJ405" s="645"/>
      <c r="AK405" s="645"/>
    </row>
    <row r="406" spans="4:37" x14ac:dyDescent="0.3">
      <c r="D406" s="645"/>
      <c r="E406" s="645"/>
      <c r="F406" s="645"/>
      <c r="G406" s="645"/>
      <c r="H406" s="645"/>
      <c r="I406" s="645"/>
      <c r="J406" s="645"/>
      <c r="K406" s="645"/>
      <c r="L406" s="645"/>
      <c r="M406" s="645"/>
      <c r="N406" s="645"/>
      <c r="O406" s="645"/>
      <c r="P406" s="645"/>
      <c r="Q406" s="645"/>
      <c r="R406" s="645"/>
      <c r="S406" s="645"/>
      <c r="T406" s="645"/>
      <c r="U406" s="645"/>
      <c r="V406" s="645"/>
      <c r="W406" s="645"/>
      <c r="X406" s="645"/>
      <c r="Y406" s="645"/>
      <c r="Z406" s="645"/>
      <c r="AA406" s="645"/>
      <c r="AB406" s="645"/>
      <c r="AC406" s="645"/>
      <c r="AD406" s="645"/>
      <c r="AE406" s="645"/>
      <c r="AF406" s="645"/>
      <c r="AG406" s="645"/>
      <c r="AH406" s="645"/>
      <c r="AI406" s="645"/>
      <c r="AJ406" s="645"/>
      <c r="AK406" s="645"/>
    </row>
    <row r="407" spans="4:37" x14ac:dyDescent="0.3">
      <c r="D407" s="645"/>
      <c r="E407" s="645"/>
      <c r="F407" s="645"/>
      <c r="G407" s="645"/>
      <c r="H407" s="645"/>
      <c r="I407" s="645"/>
      <c r="J407" s="645"/>
      <c r="K407" s="645"/>
      <c r="L407" s="645"/>
      <c r="M407" s="645"/>
      <c r="N407" s="645"/>
      <c r="O407" s="645"/>
      <c r="P407" s="645"/>
      <c r="Q407" s="645"/>
      <c r="R407" s="645"/>
      <c r="S407" s="645"/>
      <c r="T407" s="645"/>
      <c r="U407" s="645"/>
      <c r="V407" s="645"/>
      <c r="W407" s="645"/>
      <c r="X407" s="645"/>
      <c r="Y407" s="645"/>
      <c r="Z407" s="645"/>
      <c r="AA407" s="645"/>
      <c r="AB407" s="645"/>
      <c r="AC407" s="645"/>
      <c r="AD407" s="645"/>
      <c r="AE407" s="645"/>
      <c r="AF407" s="645"/>
      <c r="AG407" s="645"/>
      <c r="AH407" s="645"/>
      <c r="AI407" s="645"/>
      <c r="AJ407" s="645"/>
      <c r="AK407" s="645"/>
    </row>
    <row r="408" spans="4:37" x14ac:dyDescent="0.3">
      <c r="D408" s="645"/>
      <c r="E408" s="645"/>
      <c r="F408" s="645"/>
      <c r="G408" s="645"/>
      <c r="H408" s="645"/>
      <c r="I408" s="645"/>
      <c r="J408" s="645"/>
      <c r="K408" s="645"/>
      <c r="L408" s="645"/>
      <c r="M408" s="645"/>
      <c r="N408" s="645"/>
      <c r="O408" s="645"/>
      <c r="P408" s="645"/>
      <c r="Q408" s="645"/>
      <c r="R408" s="645"/>
      <c r="S408" s="645"/>
      <c r="T408" s="645"/>
      <c r="U408" s="645"/>
      <c r="V408" s="645"/>
      <c r="W408" s="645"/>
      <c r="X408" s="645"/>
      <c r="Y408" s="645"/>
      <c r="Z408" s="645"/>
      <c r="AA408" s="645"/>
      <c r="AB408" s="645"/>
      <c r="AC408" s="645"/>
      <c r="AD408" s="645"/>
      <c r="AE408" s="645"/>
      <c r="AF408" s="645"/>
      <c r="AG408" s="645"/>
      <c r="AH408" s="645"/>
      <c r="AI408" s="645"/>
      <c r="AJ408" s="645"/>
      <c r="AK408" s="645"/>
    </row>
    <row r="409" spans="4:37" x14ac:dyDescent="0.3">
      <c r="D409" s="645"/>
      <c r="E409" s="645"/>
      <c r="F409" s="645"/>
      <c r="G409" s="645"/>
      <c r="H409" s="645"/>
      <c r="I409" s="645"/>
      <c r="J409" s="645"/>
      <c r="K409" s="645"/>
      <c r="L409" s="645"/>
      <c r="M409" s="645"/>
      <c r="N409" s="645"/>
      <c r="O409" s="645"/>
      <c r="P409" s="645"/>
      <c r="Q409" s="645"/>
      <c r="R409" s="645"/>
      <c r="S409" s="645"/>
      <c r="T409" s="645"/>
      <c r="U409" s="645"/>
      <c r="V409" s="645"/>
      <c r="W409" s="645"/>
      <c r="X409" s="645"/>
      <c r="Y409" s="645"/>
      <c r="Z409" s="645"/>
      <c r="AA409" s="645"/>
      <c r="AB409" s="645"/>
      <c r="AC409" s="645"/>
      <c r="AD409" s="645"/>
      <c r="AE409" s="645"/>
      <c r="AF409" s="645"/>
      <c r="AG409" s="645"/>
      <c r="AH409" s="645"/>
      <c r="AI409" s="645"/>
      <c r="AJ409" s="645"/>
      <c r="AK409" s="645"/>
    </row>
    <row r="410" spans="4:37" x14ac:dyDescent="0.3">
      <c r="D410" s="645"/>
      <c r="E410" s="645"/>
      <c r="F410" s="645"/>
      <c r="G410" s="645"/>
      <c r="H410" s="645"/>
      <c r="I410" s="645"/>
      <c r="J410" s="645"/>
      <c r="K410" s="645"/>
      <c r="L410" s="645"/>
      <c r="M410" s="645"/>
      <c r="N410" s="645"/>
      <c r="O410" s="645"/>
      <c r="P410" s="645"/>
      <c r="Q410" s="645"/>
      <c r="R410" s="645"/>
      <c r="S410" s="645"/>
      <c r="T410" s="645"/>
      <c r="U410" s="645"/>
      <c r="V410" s="645"/>
      <c r="W410" s="645"/>
      <c r="X410" s="645"/>
      <c r="Y410" s="645"/>
      <c r="Z410" s="645"/>
      <c r="AA410" s="645"/>
      <c r="AB410" s="645"/>
      <c r="AC410" s="645"/>
      <c r="AD410" s="645"/>
      <c r="AE410" s="645"/>
      <c r="AF410" s="645"/>
      <c r="AG410" s="645"/>
      <c r="AH410" s="645"/>
      <c r="AI410" s="645"/>
      <c r="AJ410" s="645"/>
      <c r="AK410" s="645"/>
    </row>
    <row r="411" spans="4:37" x14ac:dyDescent="0.3">
      <c r="D411" s="645"/>
      <c r="E411" s="645"/>
      <c r="F411" s="645"/>
      <c r="G411" s="645"/>
      <c r="H411" s="645"/>
      <c r="I411" s="645"/>
      <c r="J411" s="645"/>
      <c r="K411" s="645"/>
      <c r="L411" s="645"/>
      <c r="M411" s="645"/>
      <c r="N411" s="645"/>
      <c r="O411" s="645"/>
      <c r="P411" s="645"/>
      <c r="Q411" s="645"/>
      <c r="R411" s="645"/>
      <c r="S411" s="645"/>
      <c r="T411" s="645"/>
      <c r="U411" s="645"/>
      <c r="V411" s="645"/>
      <c r="W411" s="645"/>
      <c r="X411" s="645"/>
      <c r="Y411" s="645"/>
      <c r="Z411" s="645"/>
      <c r="AA411" s="645"/>
      <c r="AB411" s="645"/>
      <c r="AC411" s="645"/>
      <c r="AD411" s="645"/>
      <c r="AE411" s="645"/>
      <c r="AF411" s="645"/>
      <c r="AG411" s="645"/>
      <c r="AH411" s="645"/>
      <c r="AI411" s="645"/>
      <c r="AJ411" s="645"/>
      <c r="AK411" s="645"/>
    </row>
    <row r="412" spans="4:37" x14ac:dyDescent="0.3">
      <c r="D412" s="643"/>
      <c r="E412" s="643"/>
      <c r="F412" s="643"/>
      <c r="G412" s="643"/>
      <c r="H412" s="643"/>
      <c r="I412" s="643"/>
      <c r="J412" s="643"/>
      <c r="K412" s="643"/>
      <c r="L412" s="643"/>
      <c r="M412" s="643"/>
      <c r="N412" s="643"/>
      <c r="O412" s="643"/>
      <c r="P412" s="643"/>
      <c r="Q412" s="643"/>
      <c r="R412" s="643"/>
      <c r="S412" s="643"/>
      <c r="T412" s="643"/>
      <c r="U412" s="643"/>
      <c r="V412" s="643"/>
      <c r="W412" s="643"/>
      <c r="X412" s="643"/>
      <c r="Y412" s="643"/>
      <c r="Z412" s="643"/>
      <c r="AA412" s="643"/>
      <c r="AB412" s="643"/>
      <c r="AC412" s="643"/>
      <c r="AD412" s="643"/>
      <c r="AE412" s="643"/>
      <c r="AF412" s="643"/>
      <c r="AG412" s="643"/>
      <c r="AH412" s="643"/>
      <c r="AI412" s="643"/>
      <c r="AJ412" s="643"/>
    </row>
    <row r="413" spans="4:37" x14ac:dyDescent="0.3">
      <c r="D413" s="643"/>
      <c r="E413" s="643"/>
      <c r="F413" s="643"/>
      <c r="G413" s="643"/>
      <c r="H413" s="643"/>
      <c r="I413" s="643"/>
      <c r="J413" s="643"/>
      <c r="K413" s="643"/>
      <c r="L413" s="643"/>
      <c r="M413" s="643"/>
      <c r="N413" s="643"/>
      <c r="O413" s="643"/>
      <c r="P413" s="643"/>
      <c r="Q413" s="643"/>
      <c r="R413" s="643"/>
      <c r="S413" s="643"/>
      <c r="T413" s="643"/>
      <c r="U413" s="643"/>
      <c r="V413" s="643"/>
      <c r="W413" s="643"/>
      <c r="X413" s="643"/>
      <c r="Y413" s="643"/>
      <c r="Z413" s="643"/>
      <c r="AA413" s="643"/>
      <c r="AB413" s="643"/>
      <c r="AC413" s="643"/>
      <c r="AD413" s="643"/>
      <c r="AE413" s="643"/>
      <c r="AF413" s="643"/>
      <c r="AG413" s="643"/>
      <c r="AH413" s="643"/>
      <c r="AI413" s="643"/>
      <c r="AJ413" s="643"/>
    </row>
    <row r="414" spans="4:37" x14ac:dyDescent="0.3">
      <c r="D414" s="643"/>
      <c r="E414" s="643"/>
      <c r="F414" s="643"/>
      <c r="G414" s="643"/>
      <c r="H414" s="643"/>
      <c r="I414" s="643"/>
      <c r="J414" s="643"/>
      <c r="K414" s="643"/>
      <c r="L414" s="643"/>
      <c r="M414" s="643"/>
      <c r="N414" s="643"/>
      <c r="O414" s="643"/>
      <c r="P414" s="643"/>
      <c r="Q414" s="643"/>
      <c r="R414" s="643"/>
      <c r="S414" s="643"/>
      <c r="T414" s="643"/>
      <c r="U414" s="643"/>
      <c r="V414" s="643"/>
      <c r="W414" s="643"/>
      <c r="X414" s="643"/>
      <c r="Y414" s="643"/>
      <c r="Z414" s="643"/>
      <c r="AA414" s="643"/>
      <c r="AB414" s="643"/>
      <c r="AC414" s="643"/>
      <c r="AD414" s="643"/>
      <c r="AE414" s="643"/>
      <c r="AF414" s="643"/>
      <c r="AG414" s="643"/>
      <c r="AH414" s="643"/>
      <c r="AI414" s="643"/>
      <c r="AJ414" s="643"/>
    </row>
    <row r="415" spans="4:37" x14ac:dyDescent="0.3">
      <c r="D415" s="643"/>
      <c r="E415" s="643"/>
      <c r="F415" s="643"/>
      <c r="G415" s="643"/>
      <c r="H415" s="643"/>
      <c r="I415" s="643"/>
      <c r="J415" s="643"/>
      <c r="K415" s="643"/>
      <c r="L415" s="643"/>
      <c r="M415" s="643"/>
      <c r="N415" s="643"/>
      <c r="O415" s="643"/>
      <c r="P415" s="643"/>
      <c r="Q415" s="643"/>
      <c r="R415" s="643"/>
      <c r="S415" s="643"/>
      <c r="T415" s="643"/>
      <c r="U415" s="643"/>
      <c r="V415" s="643"/>
      <c r="W415" s="643"/>
      <c r="X415" s="643"/>
      <c r="Y415" s="643"/>
      <c r="Z415" s="643"/>
      <c r="AA415" s="643"/>
      <c r="AB415" s="643"/>
      <c r="AC415" s="643"/>
      <c r="AD415" s="643"/>
      <c r="AE415" s="643"/>
      <c r="AF415" s="643"/>
      <c r="AG415" s="643"/>
      <c r="AH415" s="643"/>
      <c r="AI415" s="643"/>
      <c r="AJ415" s="643"/>
    </row>
    <row r="416" spans="4:37" x14ac:dyDescent="0.3">
      <c r="D416" s="643"/>
      <c r="E416" s="643"/>
      <c r="F416" s="643"/>
      <c r="G416" s="643"/>
      <c r="H416" s="643"/>
      <c r="I416" s="643"/>
      <c r="J416" s="643"/>
      <c r="K416" s="643"/>
      <c r="L416" s="643"/>
      <c r="M416" s="643"/>
      <c r="N416" s="643"/>
      <c r="O416" s="643"/>
      <c r="P416" s="643"/>
      <c r="Q416" s="643"/>
      <c r="R416" s="643"/>
      <c r="S416" s="643"/>
      <c r="T416" s="643"/>
      <c r="U416" s="643"/>
      <c r="V416" s="643"/>
      <c r="W416" s="643"/>
      <c r="X416" s="643"/>
      <c r="Y416" s="643"/>
      <c r="Z416" s="643"/>
      <c r="AA416" s="643"/>
      <c r="AB416" s="643"/>
      <c r="AC416" s="643"/>
      <c r="AD416" s="643"/>
      <c r="AE416" s="643"/>
      <c r="AF416" s="643"/>
      <c r="AG416" s="643"/>
      <c r="AH416" s="643"/>
      <c r="AI416" s="643"/>
      <c r="AJ416" s="643"/>
    </row>
    <row r="417" spans="4:36" x14ac:dyDescent="0.3">
      <c r="D417" s="643"/>
      <c r="E417" s="643"/>
      <c r="F417" s="643"/>
      <c r="G417" s="643"/>
      <c r="H417" s="643"/>
      <c r="I417" s="643"/>
      <c r="J417" s="643"/>
      <c r="K417" s="643"/>
      <c r="L417" s="643"/>
      <c r="M417" s="643"/>
      <c r="N417" s="643"/>
      <c r="O417" s="643"/>
      <c r="P417" s="643"/>
      <c r="Q417" s="643"/>
      <c r="R417" s="643"/>
      <c r="S417" s="643"/>
      <c r="T417" s="643"/>
      <c r="U417" s="643"/>
      <c r="V417" s="643"/>
      <c r="W417" s="643"/>
      <c r="X417" s="643"/>
      <c r="Y417" s="643"/>
      <c r="Z417" s="643"/>
      <c r="AA417" s="643"/>
      <c r="AB417" s="643"/>
      <c r="AC417" s="643"/>
      <c r="AD417" s="643"/>
      <c r="AE417" s="643"/>
      <c r="AF417" s="643"/>
      <c r="AG417" s="643"/>
      <c r="AH417" s="643"/>
      <c r="AI417" s="643"/>
      <c r="AJ417" s="643"/>
    </row>
    <row r="418" spans="4:36" x14ac:dyDescent="0.3">
      <c r="D418" s="643"/>
      <c r="E418" s="643"/>
      <c r="F418" s="643"/>
      <c r="G418" s="643"/>
      <c r="H418" s="643"/>
      <c r="I418" s="643"/>
      <c r="J418" s="643"/>
      <c r="K418" s="643"/>
      <c r="L418" s="643"/>
      <c r="M418" s="643"/>
      <c r="N418" s="643"/>
      <c r="O418" s="643"/>
      <c r="P418" s="643"/>
      <c r="Q418" s="643"/>
      <c r="R418" s="643"/>
      <c r="S418" s="643"/>
      <c r="T418" s="643"/>
      <c r="U418" s="643"/>
      <c r="V418" s="643"/>
      <c r="W418" s="643"/>
      <c r="X418" s="643"/>
      <c r="Y418" s="643"/>
      <c r="Z418" s="643"/>
      <c r="AA418" s="643"/>
      <c r="AB418" s="643"/>
      <c r="AC418" s="643"/>
      <c r="AD418" s="643"/>
      <c r="AE418" s="643"/>
      <c r="AF418" s="643"/>
      <c r="AG418" s="643"/>
      <c r="AH418" s="643"/>
      <c r="AI418" s="643"/>
      <c r="AJ418" s="643"/>
    </row>
    <row r="419" spans="4:36" x14ac:dyDescent="0.3">
      <c r="D419" s="643"/>
      <c r="E419" s="643"/>
      <c r="F419" s="643"/>
      <c r="G419" s="643"/>
      <c r="H419" s="643"/>
      <c r="I419" s="643"/>
      <c r="J419" s="643"/>
      <c r="K419" s="643"/>
      <c r="L419" s="643"/>
      <c r="M419" s="643"/>
      <c r="N419" s="643"/>
      <c r="O419" s="643"/>
      <c r="P419" s="643"/>
      <c r="Q419" s="643"/>
      <c r="R419" s="643"/>
      <c r="S419" s="643"/>
      <c r="T419" s="643"/>
      <c r="U419" s="643"/>
      <c r="V419" s="643"/>
      <c r="W419" s="643"/>
      <c r="X419" s="643"/>
      <c r="Y419" s="643"/>
      <c r="Z419" s="643"/>
      <c r="AA419" s="643"/>
      <c r="AB419" s="643"/>
      <c r="AC419" s="643"/>
      <c r="AD419" s="643"/>
      <c r="AE419" s="643"/>
      <c r="AF419" s="643"/>
      <c r="AG419" s="643"/>
      <c r="AH419" s="643"/>
      <c r="AI419" s="643"/>
      <c r="AJ419" s="643"/>
    </row>
    <row r="420" spans="4:36" x14ac:dyDescent="0.3">
      <c r="D420" s="643"/>
      <c r="E420" s="643"/>
      <c r="F420" s="643"/>
      <c r="G420" s="643"/>
      <c r="H420" s="643"/>
      <c r="I420" s="643"/>
      <c r="J420" s="643"/>
      <c r="K420" s="643"/>
      <c r="L420" s="643"/>
      <c r="M420" s="643"/>
      <c r="N420" s="643"/>
      <c r="O420" s="643"/>
      <c r="P420" s="643"/>
      <c r="Q420" s="643"/>
      <c r="R420" s="643"/>
      <c r="S420" s="643"/>
      <c r="T420" s="643"/>
      <c r="U420" s="643"/>
      <c r="V420" s="643"/>
      <c r="W420" s="643"/>
      <c r="X420" s="643"/>
      <c r="Y420" s="643"/>
      <c r="Z420" s="643"/>
      <c r="AA420" s="643"/>
      <c r="AB420" s="643"/>
      <c r="AC420" s="643"/>
      <c r="AD420" s="643"/>
      <c r="AE420" s="643"/>
      <c r="AF420" s="643"/>
      <c r="AG420" s="643"/>
      <c r="AH420" s="643"/>
      <c r="AI420" s="643"/>
      <c r="AJ420" s="643"/>
    </row>
    <row r="421" spans="4:36" x14ac:dyDescent="0.3">
      <c r="D421" s="643"/>
      <c r="E421" s="643"/>
      <c r="F421" s="643"/>
      <c r="G421" s="643"/>
      <c r="H421" s="643"/>
      <c r="I421" s="643"/>
      <c r="J421" s="643"/>
      <c r="K421" s="643"/>
      <c r="L421" s="643"/>
      <c r="M421" s="643"/>
      <c r="N421" s="643"/>
      <c r="O421" s="643"/>
      <c r="P421" s="643"/>
      <c r="Q421" s="643"/>
      <c r="R421" s="643"/>
      <c r="S421" s="643"/>
      <c r="T421" s="643"/>
      <c r="U421" s="643"/>
      <c r="V421" s="643"/>
      <c r="W421" s="643"/>
      <c r="X421" s="643"/>
      <c r="Y421" s="643"/>
      <c r="Z421" s="643"/>
      <c r="AA421" s="643"/>
      <c r="AB421" s="643"/>
      <c r="AC421" s="643"/>
      <c r="AD421" s="643"/>
      <c r="AE421" s="643"/>
      <c r="AF421" s="643"/>
      <c r="AG421" s="643"/>
      <c r="AH421" s="643"/>
      <c r="AI421" s="643"/>
      <c r="AJ421" s="643"/>
    </row>
    <row r="422" spans="4:36" x14ac:dyDescent="0.3">
      <c r="D422" s="643"/>
      <c r="E422" s="643"/>
      <c r="F422" s="643"/>
      <c r="G422" s="643"/>
      <c r="H422" s="643"/>
      <c r="I422" s="643"/>
      <c r="J422" s="643"/>
      <c r="K422" s="643"/>
      <c r="L422" s="643"/>
      <c r="M422" s="643"/>
      <c r="N422" s="643"/>
      <c r="O422" s="643"/>
      <c r="P422" s="643"/>
      <c r="Q422" s="643"/>
      <c r="R422" s="643"/>
      <c r="S422" s="643"/>
      <c r="T422" s="643"/>
      <c r="U422" s="643"/>
      <c r="V422" s="643"/>
      <c r="W422" s="643"/>
      <c r="X422" s="643"/>
      <c r="Y422" s="643"/>
      <c r="Z422" s="643"/>
      <c r="AA422" s="643"/>
      <c r="AB422" s="643"/>
      <c r="AC422" s="643"/>
      <c r="AD422" s="643"/>
      <c r="AE422" s="643"/>
      <c r="AF422" s="643"/>
      <c r="AG422" s="643"/>
      <c r="AH422" s="643"/>
      <c r="AI422" s="643"/>
      <c r="AJ422" s="643"/>
    </row>
    <row r="424" spans="4:36" ht="23.25" x14ac:dyDescent="0.35">
      <c r="D424" s="633" t="s">
        <v>883</v>
      </c>
    </row>
    <row r="426" spans="4:36" ht="21" x14ac:dyDescent="0.35">
      <c r="E426" s="644" t="s">
        <v>740</v>
      </c>
    </row>
    <row r="428" spans="4:36" ht="21" x14ac:dyDescent="0.35">
      <c r="E428" s="771" t="s">
        <v>889</v>
      </c>
      <c r="F428" s="771"/>
      <c r="G428" s="771"/>
      <c r="H428" s="771"/>
      <c r="I428" s="771"/>
      <c r="J428" s="771"/>
      <c r="K428" s="771"/>
      <c r="L428" s="771"/>
      <c r="M428" s="771"/>
      <c r="N428" s="771"/>
      <c r="O428" s="771"/>
      <c r="P428" s="771"/>
      <c r="Q428" s="771"/>
      <c r="R428" s="771"/>
      <c r="S428" s="771"/>
      <c r="T428" s="771"/>
      <c r="U428" s="771"/>
      <c r="V428" s="771"/>
      <c r="W428" s="771"/>
      <c r="X428" s="771"/>
      <c r="Y428" s="771"/>
      <c r="Z428" s="771"/>
      <c r="AA428" s="771"/>
      <c r="AB428" s="771"/>
      <c r="AC428" s="771"/>
      <c r="AD428" s="771"/>
      <c r="AE428" s="771"/>
      <c r="AF428" s="771"/>
      <c r="AG428" s="771"/>
      <c r="AH428" s="771"/>
      <c r="AI428" s="771"/>
      <c r="AJ428" s="771"/>
    </row>
    <row r="430" spans="4:36" x14ac:dyDescent="0.3">
      <c r="E430" s="818" t="s">
        <v>742</v>
      </c>
      <c r="F430" s="818"/>
      <c r="G430" s="818"/>
      <c r="H430" s="818"/>
      <c r="I430" s="818"/>
      <c r="J430" s="818"/>
      <c r="K430" s="818"/>
      <c r="L430" s="818"/>
      <c r="M430" s="818"/>
      <c r="N430" s="818"/>
      <c r="O430" s="819" t="s">
        <v>434</v>
      </c>
      <c r="P430" s="819"/>
      <c r="Q430" s="819"/>
      <c r="R430" s="819"/>
      <c r="S430" s="819"/>
      <c r="T430" s="819"/>
      <c r="U430" s="819"/>
      <c r="V430" s="819"/>
      <c r="W430" s="819"/>
      <c r="X430" s="819"/>
      <c r="Y430" s="819"/>
      <c r="Z430" s="819"/>
    </row>
    <row r="431" spans="4:36" x14ac:dyDescent="0.3">
      <c r="E431" s="818" t="s">
        <v>745</v>
      </c>
      <c r="F431" s="818"/>
      <c r="G431" s="818"/>
      <c r="H431" s="818"/>
      <c r="I431" s="818"/>
      <c r="J431" s="818"/>
      <c r="K431" s="818"/>
      <c r="L431" s="818"/>
      <c r="M431" s="818"/>
      <c r="N431" s="818"/>
      <c r="O431" s="819" t="s">
        <v>137</v>
      </c>
      <c r="P431" s="819"/>
      <c r="Q431" s="819"/>
      <c r="R431" s="819"/>
      <c r="S431" s="819"/>
      <c r="T431" s="819"/>
      <c r="U431" s="819"/>
      <c r="V431" s="819"/>
      <c r="W431" s="819"/>
      <c r="X431" s="819"/>
      <c r="Y431" s="819"/>
      <c r="Z431" s="819"/>
    </row>
    <row r="432" spans="4:36" x14ac:dyDescent="0.3">
      <c r="E432" s="853" t="s">
        <v>741</v>
      </c>
      <c r="F432" s="853"/>
      <c r="G432" s="853"/>
      <c r="H432" s="853"/>
      <c r="I432" s="853"/>
      <c r="J432" s="853"/>
      <c r="K432" s="853"/>
      <c r="L432" s="853"/>
      <c r="M432" s="853"/>
      <c r="N432" s="853"/>
      <c r="O432" s="847" t="s">
        <v>885</v>
      </c>
      <c r="P432" s="848"/>
      <c r="Q432" s="848"/>
      <c r="R432" s="848"/>
      <c r="S432" s="848"/>
      <c r="T432" s="848"/>
      <c r="U432" s="848"/>
      <c r="V432" s="848"/>
      <c r="W432" s="848"/>
      <c r="X432" s="848"/>
      <c r="Y432" s="848"/>
      <c r="Z432" s="849"/>
    </row>
    <row r="433" spans="5:36" x14ac:dyDescent="0.3">
      <c r="E433" s="853"/>
      <c r="F433" s="853"/>
      <c r="G433" s="853"/>
      <c r="H433" s="853"/>
      <c r="I433" s="853"/>
      <c r="J433" s="853"/>
      <c r="K433" s="853"/>
      <c r="L433" s="853"/>
      <c r="M433" s="853"/>
      <c r="N433" s="853"/>
      <c r="O433" s="850"/>
      <c r="P433" s="851"/>
      <c r="Q433" s="851"/>
      <c r="R433" s="851"/>
      <c r="S433" s="851"/>
      <c r="T433" s="851"/>
      <c r="U433" s="851"/>
      <c r="V433" s="851"/>
      <c r="W433" s="851"/>
      <c r="X433" s="851"/>
      <c r="Y433" s="851"/>
      <c r="Z433" s="852"/>
    </row>
    <row r="434" spans="5:36" x14ac:dyDescent="0.3">
      <c r="E434" s="818" t="s">
        <v>743</v>
      </c>
      <c r="F434" s="818"/>
      <c r="G434" s="818"/>
      <c r="H434" s="818"/>
      <c r="I434" s="818"/>
      <c r="J434" s="818"/>
      <c r="K434" s="818"/>
      <c r="L434" s="818"/>
      <c r="M434" s="818"/>
      <c r="N434" s="818"/>
      <c r="O434" s="819" t="s">
        <v>744</v>
      </c>
      <c r="P434" s="819"/>
      <c r="Q434" s="819"/>
      <c r="R434" s="819"/>
      <c r="S434" s="819"/>
      <c r="T434" s="819"/>
      <c r="U434" s="819"/>
      <c r="V434" s="819"/>
      <c r="W434" s="819"/>
      <c r="X434" s="819"/>
      <c r="Y434" s="819"/>
      <c r="Z434" s="819"/>
    </row>
    <row r="435" spans="5:36" x14ac:dyDescent="0.3">
      <c r="E435" s="818" t="s">
        <v>748</v>
      </c>
      <c r="F435" s="818"/>
      <c r="G435" s="818"/>
      <c r="H435" s="818"/>
      <c r="I435" s="818"/>
      <c r="J435" s="818"/>
      <c r="K435" s="818"/>
      <c r="L435" s="818"/>
      <c r="M435" s="818"/>
      <c r="N435" s="818"/>
      <c r="O435" s="819" t="s">
        <v>751</v>
      </c>
      <c r="P435" s="819"/>
      <c r="Q435" s="819"/>
      <c r="R435" s="819"/>
      <c r="S435" s="819"/>
      <c r="T435" s="819"/>
      <c r="U435" s="819"/>
      <c r="V435" s="819"/>
      <c r="W435" s="819"/>
      <c r="X435" s="819"/>
      <c r="Y435" s="819"/>
      <c r="Z435" s="819"/>
    </row>
    <row r="436" spans="5:36" x14ac:dyDescent="0.3">
      <c r="E436" s="818" t="s">
        <v>792</v>
      </c>
      <c r="F436" s="818"/>
      <c r="G436" s="818"/>
      <c r="H436" s="818"/>
      <c r="I436" s="818"/>
      <c r="J436" s="818"/>
      <c r="K436" s="818"/>
      <c r="L436" s="818"/>
      <c r="M436" s="818"/>
      <c r="N436" s="818"/>
      <c r="O436" s="819" t="s">
        <v>750</v>
      </c>
      <c r="P436" s="819"/>
      <c r="Q436" s="819"/>
      <c r="R436" s="819"/>
      <c r="S436" s="819"/>
      <c r="T436" s="819"/>
      <c r="U436" s="819"/>
      <c r="V436" s="819"/>
      <c r="W436" s="819"/>
      <c r="X436" s="819"/>
      <c r="Y436" s="819"/>
      <c r="Z436" s="819"/>
    </row>
    <row r="437" spans="5:36" x14ac:dyDescent="0.3">
      <c r="E437" s="818" t="s">
        <v>349</v>
      </c>
      <c r="F437" s="818"/>
      <c r="G437" s="818"/>
      <c r="H437" s="818"/>
      <c r="I437" s="818"/>
      <c r="J437" s="818"/>
      <c r="K437" s="818"/>
      <c r="L437" s="818"/>
      <c r="M437" s="818"/>
      <c r="N437" s="818"/>
      <c r="O437" s="819" t="s">
        <v>749</v>
      </c>
      <c r="P437" s="819"/>
      <c r="Q437" s="819"/>
      <c r="R437" s="819"/>
      <c r="S437" s="819"/>
      <c r="T437" s="819"/>
      <c r="U437" s="819"/>
      <c r="V437" s="819"/>
      <c r="W437" s="819"/>
      <c r="X437" s="819"/>
      <c r="Y437" s="819"/>
      <c r="Z437" s="819"/>
    </row>
    <row r="439" spans="5:36" ht="21" x14ac:dyDescent="0.35">
      <c r="E439" s="771" t="s">
        <v>917</v>
      </c>
      <c r="F439" s="771"/>
      <c r="G439" s="771"/>
      <c r="H439" s="771"/>
      <c r="I439" s="771"/>
      <c r="J439" s="771"/>
      <c r="K439" s="771"/>
      <c r="L439" s="771"/>
      <c r="M439" s="771"/>
      <c r="N439" s="771"/>
      <c r="O439" s="771"/>
      <c r="P439" s="771"/>
      <c r="Q439" s="771"/>
      <c r="R439" s="771"/>
      <c r="S439" s="771"/>
      <c r="T439" s="771"/>
      <c r="U439" s="771"/>
      <c r="V439" s="771"/>
      <c r="W439" s="771"/>
      <c r="X439" s="771"/>
      <c r="Y439" s="771"/>
      <c r="Z439" s="771"/>
      <c r="AA439" s="771"/>
      <c r="AB439" s="771"/>
      <c r="AC439" s="771"/>
      <c r="AD439" s="771"/>
      <c r="AE439" s="771"/>
      <c r="AF439" s="771"/>
      <c r="AG439" s="771"/>
      <c r="AH439" s="771"/>
      <c r="AI439" s="771"/>
      <c r="AJ439" s="771"/>
    </row>
    <row r="441" spans="5:36" x14ac:dyDescent="0.3">
      <c r="E441" s="843" t="s">
        <v>799</v>
      </c>
      <c r="F441" s="843"/>
      <c r="G441" s="843"/>
      <c r="H441" s="843"/>
      <c r="I441" s="843"/>
      <c r="J441" s="843"/>
      <c r="K441" s="843"/>
      <c r="L441" s="843"/>
      <c r="M441" s="843"/>
      <c r="N441" s="830">
        <v>110</v>
      </c>
      <c r="O441" s="830"/>
      <c r="P441" s="830"/>
      <c r="Q441" s="830"/>
      <c r="R441" s="830"/>
      <c r="S441" s="830"/>
      <c r="T441" s="830"/>
      <c r="U441" s="830"/>
      <c r="V441" s="830"/>
    </row>
    <row r="442" spans="5:36" x14ac:dyDescent="0.3">
      <c r="E442" s="843" t="s">
        <v>800</v>
      </c>
      <c r="F442" s="843"/>
      <c r="G442" s="843"/>
      <c r="H442" s="843"/>
      <c r="I442" s="843"/>
      <c r="J442" s="843"/>
      <c r="K442" s="843"/>
      <c r="L442" s="843"/>
      <c r="M442" s="843"/>
      <c r="N442" s="830">
        <v>2</v>
      </c>
      <c r="O442" s="830"/>
      <c r="P442" s="830"/>
      <c r="Q442" s="830"/>
      <c r="R442" s="830"/>
      <c r="S442" s="830"/>
      <c r="T442" s="830"/>
      <c r="U442" s="830"/>
      <c r="V442" s="830"/>
    </row>
    <row r="443" spans="5:36" x14ac:dyDescent="0.3">
      <c r="E443" s="844" t="s">
        <v>812</v>
      </c>
      <c r="F443" s="845"/>
      <c r="G443" s="845"/>
      <c r="H443" s="845"/>
      <c r="I443" s="845"/>
      <c r="J443" s="845"/>
      <c r="K443" s="845"/>
      <c r="L443" s="845"/>
      <c r="M443" s="846"/>
      <c r="N443" s="830">
        <f>+N441/N442</f>
        <v>55</v>
      </c>
      <c r="O443" s="830"/>
      <c r="P443" s="830"/>
      <c r="Q443" s="830"/>
      <c r="R443" s="830"/>
      <c r="S443" s="830"/>
      <c r="T443" s="830"/>
      <c r="U443" s="830"/>
      <c r="V443" s="830"/>
    </row>
    <row r="446" spans="5:36" ht="75" customHeight="1" x14ac:dyDescent="0.3">
      <c r="E446" s="772" t="s">
        <v>918</v>
      </c>
      <c r="F446" s="772"/>
      <c r="G446" s="772"/>
      <c r="H446" s="772"/>
      <c r="I446" s="772"/>
      <c r="J446" s="772"/>
      <c r="K446" s="772"/>
      <c r="L446" s="772"/>
      <c r="M446" s="772"/>
      <c r="N446" s="772"/>
      <c r="O446" s="772"/>
      <c r="P446" s="772"/>
      <c r="Q446" s="772"/>
      <c r="R446" s="772"/>
      <c r="S446" s="772"/>
      <c r="T446" s="772"/>
      <c r="U446" s="772"/>
      <c r="V446" s="772"/>
      <c r="W446" s="772"/>
      <c r="X446" s="772"/>
      <c r="Y446" s="772"/>
      <c r="Z446" s="772"/>
      <c r="AA446" s="772"/>
      <c r="AB446" s="772"/>
      <c r="AC446" s="772"/>
      <c r="AD446" s="772"/>
      <c r="AE446" s="772"/>
      <c r="AF446" s="772"/>
      <c r="AG446" s="772"/>
      <c r="AH446" s="772"/>
      <c r="AI446" s="772"/>
      <c r="AJ446" s="772"/>
    </row>
    <row r="447" spans="5:36" ht="21" x14ac:dyDescent="0.35">
      <c r="E447" s="649"/>
    </row>
    <row r="448" spans="5:36" ht="21" x14ac:dyDescent="0.35">
      <c r="E448" s="649"/>
    </row>
    <row r="449" spans="5:37" ht="21" x14ac:dyDescent="0.35">
      <c r="E449" s="649"/>
    </row>
    <row r="450" spans="5:37" ht="21" x14ac:dyDescent="0.35">
      <c r="E450" s="649"/>
    </row>
    <row r="451" spans="5:37" ht="21" x14ac:dyDescent="0.35">
      <c r="E451" s="649"/>
    </row>
    <row r="452" spans="5:37" ht="21" x14ac:dyDescent="0.35">
      <c r="E452" s="649"/>
    </row>
    <row r="453" spans="5:37" ht="21" x14ac:dyDescent="0.35">
      <c r="E453" s="649"/>
    </row>
    <row r="461" spans="5:37" ht="48" customHeight="1" x14ac:dyDescent="0.35">
      <c r="E461" s="771" t="s">
        <v>862</v>
      </c>
      <c r="F461" s="771"/>
      <c r="G461" s="771"/>
      <c r="H461" s="771"/>
      <c r="I461" s="771"/>
      <c r="J461" s="771"/>
      <c r="K461" s="771"/>
      <c r="L461" s="771"/>
      <c r="M461" s="771"/>
      <c r="N461" s="771"/>
      <c r="O461" s="771"/>
      <c r="P461" s="771"/>
      <c r="Q461" s="771"/>
      <c r="R461" s="771"/>
      <c r="S461" s="771"/>
      <c r="T461" s="771"/>
      <c r="U461" s="771"/>
      <c r="V461" s="771"/>
      <c r="W461" s="771"/>
      <c r="X461" s="771"/>
      <c r="Y461" s="771"/>
      <c r="Z461" s="771"/>
      <c r="AA461" s="771"/>
      <c r="AB461" s="771"/>
      <c r="AC461" s="771"/>
      <c r="AD461" s="771"/>
      <c r="AE461" s="771"/>
      <c r="AF461" s="771"/>
      <c r="AG461" s="771"/>
      <c r="AH461" s="771"/>
      <c r="AI461" s="771"/>
      <c r="AJ461" s="650"/>
      <c r="AK461" s="654"/>
    </row>
    <row r="462" spans="5:37" ht="18" customHeight="1" x14ac:dyDescent="0.35">
      <c r="E462" s="771"/>
      <c r="F462" s="771"/>
      <c r="G462" s="771"/>
      <c r="H462" s="771"/>
      <c r="I462" s="771"/>
      <c r="J462" s="771"/>
      <c r="K462" s="771"/>
      <c r="L462" s="771"/>
      <c r="M462" s="771"/>
      <c r="N462" s="771"/>
      <c r="O462" s="771"/>
      <c r="P462" s="771"/>
      <c r="Q462" s="771"/>
      <c r="R462" s="771"/>
      <c r="S462" s="771"/>
      <c r="T462" s="771"/>
      <c r="U462" s="771"/>
      <c r="V462" s="771"/>
      <c r="W462" s="771"/>
      <c r="X462" s="771"/>
      <c r="Y462" s="771"/>
      <c r="Z462" s="771"/>
      <c r="AA462" s="771"/>
      <c r="AB462" s="771"/>
      <c r="AC462" s="771"/>
      <c r="AD462" s="771"/>
      <c r="AE462" s="771"/>
      <c r="AF462" s="771"/>
      <c r="AG462" s="771"/>
      <c r="AH462" s="771"/>
      <c r="AI462" s="771"/>
      <c r="AJ462" s="771"/>
      <c r="AK462" s="654"/>
    </row>
    <row r="464" spans="5:37" x14ac:dyDescent="0.3">
      <c r="E464" s="834" t="s">
        <v>863</v>
      </c>
      <c r="F464" s="834"/>
      <c r="G464" s="834"/>
      <c r="H464" s="834"/>
      <c r="I464" s="834"/>
      <c r="J464" s="834"/>
      <c r="K464" s="834"/>
      <c r="L464" s="834"/>
      <c r="M464" s="834"/>
      <c r="N464" s="834"/>
      <c r="O464" s="834"/>
      <c r="P464" s="834"/>
      <c r="Q464" s="834"/>
      <c r="R464" s="784">
        <v>90000</v>
      </c>
      <c r="S464" s="785"/>
      <c r="T464" s="785"/>
      <c r="U464" s="786"/>
    </row>
    <row r="465" spans="5:35" x14ac:dyDescent="0.3">
      <c r="E465" s="834" t="s">
        <v>864</v>
      </c>
      <c r="F465" s="834"/>
      <c r="G465" s="834"/>
      <c r="H465" s="834"/>
      <c r="I465" s="834"/>
      <c r="J465" s="834"/>
      <c r="K465" s="834"/>
      <c r="L465" s="834"/>
      <c r="M465" s="834"/>
      <c r="N465" s="834"/>
      <c r="O465" s="834"/>
      <c r="P465" s="834"/>
      <c r="Q465" s="834"/>
      <c r="R465" s="787">
        <v>40</v>
      </c>
      <c r="S465" s="788"/>
      <c r="T465" s="788"/>
      <c r="U465" s="789"/>
    </row>
    <row r="466" spans="5:35" x14ac:dyDescent="0.3">
      <c r="E466" s="834" t="s">
        <v>865</v>
      </c>
      <c r="F466" s="834"/>
      <c r="G466" s="834"/>
      <c r="H466" s="834"/>
      <c r="I466" s="834"/>
      <c r="J466" s="834"/>
      <c r="K466" s="834"/>
      <c r="L466" s="834"/>
      <c r="M466" s="834"/>
      <c r="N466" s="834"/>
      <c r="O466" s="834"/>
      <c r="P466" s="834"/>
      <c r="Q466" s="834"/>
      <c r="R466" s="787">
        <v>20</v>
      </c>
      <c r="S466" s="788"/>
      <c r="T466" s="788"/>
      <c r="U466" s="789"/>
    </row>
    <row r="467" spans="5:35" x14ac:dyDescent="0.3">
      <c r="E467" s="834" t="s">
        <v>890</v>
      </c>
      <c r="F467" s="834"/>
      <c r="G467" s="834"/>
      <c r="H467" s="834"/>
      <c r="I467" s="834"/>
      <c r="J467" s="834"/>
      <c r="K467" s="834"/>
      <c r="L467" s="834"/>
      <c r="M467" s="834"/>
      <c r="N467" s="834"/>
      <c r="O467" s="834"/>
      <c r="P467" s="834"/>
      <c r="Q467" s="834"/>
      <c r="R467" s="790">
        <f>+R466*R464/R465</f>
        <v>45000</v>
      </c>
      <c r="S467" s="869"/>
      <c r="T467" s="869"/>
      <c r="U467" s="791"/>
    </row>
    <row r="469" spans="5:35" ht="45" customHeight="1" x14ac:dyDescent="0.35">
      <c r="E469" s="771" t="s">
        <v>937</v>
      </c>
      <c r="F469" s="771"/>
      <c r="G469" s="771"/>
      <c r="H469" s="771"/>
      <c r="I469" s="771"/>
      <c r="J469" s="771"/>
      <c r="K469" s="771"/>
      <c r="L469" s="771"/>
      <c r="M469" s="771"/>
      <c r="N469" s="771"/>
      <c r="O469" s="771"/>
      <c r="P469" s="771"/>
      <c r="Q469" s="771"/>
      <c r="R469" s="771"/>
      <c r="S469" s="771"/>
      <c r="T469" s="771"/>
      <c r="U469" s="771"/>
      <c r="V469" s="771"/>
      <c r="W469" s="771"/>
      <c r="X469" s="771"/>
      <c r="Y469" s="771"/>
      <c r="Z469" s="771"/>
      <c r="AA469" s="771"/>
      <c r="AB469" s="771"/>
      <c r="AC469" s="771"/>
      <c r="AD469" s="771"/>
      <c r="AE469" s="771"/>
      <c r="AF469" s="771"/>
      <c r="AG469" s="771"/>
      <c r="AH469" s="771"/>
      <c r="AI469" s="771"/>
    </row>
    <row r="486" spans="4:37" x14ac:dyDescent="0.3">
      <c r="D486" s="626"/>
      <c r="E486" s="626" t="s">
        <v>746</v>
      </c>
    </row>
    <row r="488" spans="4:37" ht="18" customHeight="1" x14ac:dyDescent="0.35">
      <c r="E488" s="771" t="s">
        <v>938</v>
      </c>
      <c r="F488" s="771"/>
      <c r="G488" s="771"/>
      <c r="H488" s="771"/>
      <c r="I488" s="771"/>
      <c r="J488" s="771"/>
      <c r="K488" s="771"/>
      <c r="L488" s="771"/>
      <c r="M488" s="771"/>
      <c r="N488" s="771"/>
      <c r="O488" s="771"/>
      <c r="P488" s="771"/>
      <c r="Q488" s="771"/>
      <c r="R488" s="771"/>
      <c r="S488" s="771"/>
      <c r="T488" s="771"/>
      <c r="U488" s="771"/>
      <c r="V488" s="771"/>
      <c r="W488" s="771"/>
      <c r="X488" s="771"/>
      <c r="Y488" s="771"/>
      <c r="Z488" s="771"/>
      <c r="AA488" s="771"/>
      <c r="AB488" s="771"/>
      <c r="AC488" s="771"/>
      <c r="AD488" s="771"/>
      <c r="AE488" s="771"/>
      <c r="AF488" s="771"/>
      <c r="AG488" s="771"/>
      <c r="AH488" s="771"/>
      <c r="AI488" s="771"/>
      <c r="AJ488" s="659"/>
      <c r="AK488" s="659"/>
    </row>
    <row r="490" spans="4:37" x14ac:dyDescent="0.3">
      <c r="E490" s="827" t="s">
        <v>752</v>
      </c>
      <c r="F490" s="828"/>
      <c r="G490" s="828"/>
      <c r="H490" s="828"/>
      <c r="I490" s="828"/>
      <c r="J490" s="828"/>
      <c r="K490" s="828"/>
      <c r="L490" s="828"/>
      <c r="M490" s="829"/>
      <c r="N490" s="830" t="s">
        <v>754</v>
      </c>
      <c r="O490" s="830"/>
      <c r="P490" s="830"/>
      <c r="Q490" s="830"/>
      <c r="R490" s="830"/>
      <c r="S490" s="830"/>
      <c r="T490" s="830"/>
      <c r="U490" s="830"/>
      <c r="V490" s="830"/>
    </row>
    <row r="491" spans="4:37" x14ac:dyDescent="0.3">
      <c r="E491" s="827" t="s">
        <v>747</v>
      </c>
      <c r="F491" s="828"/>
      <c r="G491" s="828"/>
      <c r="H491" s="828"/>
      <c r="I491" s="828"/>
      <c r="J491" s="828"/>
      <c r="K491" s="828"/>
      <c r="L491" s="828"/>
      <c r="M491" s="829"/>
      <c r="N491" s="830" t="s">
        <v>753</v>
      </c>
      <c r="O491" s="830"/>
      <c r="P491" s="830"/>
      <c r="Q491" s="830"/>
      <c r="R491" s="830"/>
      <c r="S491" s="830"/>
      <c r="T491" s="830"/>
      <c r="U491" s="830"/>
      <c r="V491" s="830"/>
    </row>
    <row r="492" spans="4:37" x14ac:dyDescent="0.3">
      <c r="E492" s="815" t="s">
        <v>795</v>
      </c>
      <c r="F492" s="816"/>
      <c r="G492" s="816"/>
      <c r="H492" s="816"/>
      <c r="I492" s="816"/>
      <c r="J492" s="816"/>
      <c r="K492" s="816"/>
      <c r="L492" s="816"/>
      <c r="M492" s="817"/>
      <c r="N492" s="830" t="s">
        <v>755</v>
      </c>
      <c r="O492" s="830"/>
      <c r="P492" s="830"/>
      <c r="Q492" s="830"/>
      <c r="R492" s="830"/>
      <c r="S492" s="830"/>
      <c r="T492" s="830"/>
      <c r="U492" s="830"/>
      <c r="V492" s="830"/>
    </row>
    <row r="493" spans="4:37" x14ac:dyDescent="0.3">
      <c r="E493" s="815" t="s">
        <v>756</v>
      </c>
      <c r="F493" s="816"/>
      <c r="G493" s="816"/>
      <c r="H493" s="816"/>
      <c r="I493" s="816"/>
      <c r="J493" s="816"/>
      <c r="K493" s="816"/>
      <c r="L493" s="816"/>
      <c r="M493" s="817"/>
      <c r="N493" s="830" t="s">
        <v>757</v>
      </c>
      <c r="O493" s="830"/>
      <c r="P493" s="830"/>
      <c r="Q493" s="830"/>
      <c r="R493" s="830"/>
      <c r="S493" s="830"/>
      <c r="T493" s="830"/>
      <c r="U493" s="830"/>
      <c r="V493" s="830"/>
    </row>
    <row r="494" spans="4:37" ht="18" customHeight="1" x14ac:dyDescent="0.3"/>
    <row r="495" spans="4:37" ht="43.9" customHeight="1" x14ac:dyDescent="0.35">
      <c r="E495" s="771" t="s">
        <v>939</v>
      </c>
      <c r="F495" s="771"/>
      <c r="G495" s="771"/>
      <c r="H495" s="771"/>
      <c r="I495" s="771"/>
      <c r="J495" s="771"/>
      <c r="K495" s="771"/>
      <c r="L495" s="771"/>
      <c r="M495" s="771"/>
      <c r="N495" s="771"/>
      <c r="O495" s="771"/>
      <c r="P495" s="771"/>
      <c r="Q495" s="771"/>
      <c r="R495" s="771"/>
      <c r="S495" s="771"/>
      <c r="T495" s="771"/>
      <c r="U495" s="771"/>
      <c r="V495" s="771"/>
      <c r="W495" s="771"/>
      <c r="X495" s="771"/>
      <c r="Y495" s="771"/>
      <c r="Z495" s="771"/>
      <c r="AA495" s="771"/>
      <c r="AB495" s="771"/>
      <c r="AC495" s="771"/>
      <c r="AD495" s="771"/>
      <c r="AE495" s="771"/>
      <c r="AF495" s="771"/>
      <c r="AG495" s="771"/>
      <c r="AH495" s="771"/>
      <c r="AI495" s="771"/>
      <c r="AJ495" s="665"/>
      <c r="AK495" s="665"/>
    </row>
    <row r="496" spans="4:37" x14ac:dyDescent="0.3">
      <c r="W496" s="634"/>
      <c r="X496" s="634"/>
      <c r="Y496" s="634"/>
      <c r="Z496" s="634"/>
      <c r="AA496" s="634"/>
      <c r="AB496" s="634"/>
      <c r="AC496" s="634"/>
      <c r="AD496" s="634"/>
      <c r="AE496" s="634"/>
      <c r="AF496" s="634"/>
      <c r="AG496" s="634"/>
      <c r="AH496" s="634"/>
      <c r="AI496" s="634"/>
      <c r="AJ496" s="634"/>
      <c r="AK496" s="634"/>
    </row>
    <row r="497" spans="5:37" x14ac:dyDescent="0.3">
      <c r="E497" s="827" t="s">
        <v>793</v>
      </c>
      <c r="F497" s="828"/>
      <c r="G497" s="828"/>
      <c r="H497" s="828"/>
      <c r="I497" s="828"/>
      <c r="J497" s="828"/>
      <c r="K497" s="828"/>
      <c r="L497" s="828"/>
      <c r="M497" s="829"/>
      <c r="N497" s="830" t="s">
        <v>794</v>
      </c>
      <c r="O497" s="830"/>
      <c r="P497" s="830"/>
      <c r="Q497" s="830"/>
      <c r="R497" s="830"/>
      <c r="S497" s="830"/>
      <c r="T497" s="830"/>
      <c r="U497" s="830"/>
      <c r="V497" s="830"/>
      <c r="W497" s="634"/>
      <c r="X497" s="634"/>
      <c r="Y497" s="634"/>
      <c r="Z497" s="634"/>
      <c r="AA497" s="634"/>
      <c r="AB497" s="634"/>
      <c r="AC497" s="634"/>
      <c r="AD497" s="634"/>
      <c r="AE497" s="634"/>
      <c r="AF497" s="634"/>
      <c r="AG497" s="634"/>
      <c r="AH497" s="634"/>
      <c r="AI497" s="634"/>
      <c r="AJ497" s="634"/>
      <c r="AK497" s="634"/>
    </row>
    <row r="498" spans="5:37" x14ac:dyDescent="0.3">
      <c r="E498" s="827" t="s">
        <v>795</v>
      </c>
      <c r="F498" s="828"/>
      <c r="G498" s="828"/>
      <c r="H498" s="828"/>
      <c r="I498" s="828"/>
      <c r="J498" s="828"/>
      <c r="K498" s="828"/>
      <c r="L498" s="828"/>
      <c r="M498" s="829"/>
      <c r="N498" s="830" t="s">
        <v>796</v>
      </c>
      <c r="O498" s="830"/>
      <c r="P498" s="830"/>
      <c r="Q498" s="830"/>
      <c r="R498" s="830"/>
      <c r="S498" s="830"/>
      <c r="T498" s="830"/>
      <c r="U498" s="830"/>
      <c r="V498" s="830"/>
      <c r="W498" s="634"/>
      <c r="X498" s="634"/>
      <c r="Y498" s="634"/>
      <c r="Z498" s="634"/>
      <c r="AA498" s="634"/>
      <c r="AB498" s="634"/>
      <c r="AC498" s="634"/>
      <c r="AD498" s="634"/>
      <c r="AE498" s="634"/>
      <c r="AF498" s="634"/>
      <c r="AG498" s="634"/>
      <c r="AH498" s="634"/>
      <c r="AI498" s="634"/>
      <c r="AJ498" s="634"/>
      <c r="AK498" s="634"/>
    </row>
    <row r="499" spans="5:37" x14ac:dyDescent="0.3">
      <c r="E499" s="815" t="s">
        <v>756</v>
      </c>
      <c r="F499" s="816"/>
      <c r="G499" s="816"/>
      <c r="H499" s="816"/>
      <c r="I499" s="816"/>
      <c r="J499" s="816"/>
      <c r="K499" s="816"/>
      <c r="L499" s="816"/>
      <c r="M499" s="817"/>
      <c r="N499" s="830">
        <v>0</v>
      </c>
      <c r="O499" s="830"/>
      <c r="P499" s="830"/>
      <c r="Q499" s="830"/>
      <c r="R499" s="830"/>
      <c r="S499" s="830"/>
      <c r="T499" s="830"/>
      <c r="U499" s="830"/>
      <c r="V499" s="830"/>
      <c r="W499" s="634"/>
      <c r="X499" s="634"/>
      <c r="Y499" s="634"/>
      <c r="Z499" s="634"/>
      <c r="AA499" s="634"/>
      <c r="AB499" s="634"/>
      <c r="AC499" s="634"/>
      <c r="AD499" s="634"/>
      <c r="AE499" s="634"/>
      <c r="AF499" s="634"/>
      <c r="AG499" s="634"/>
      <c r="AH499" s="634"/>
      <c r="AI499" s="634"/>
      <c r="AJ499" s="634"/>
      <c r="AK499" s="634"/>
    </row>
    <row r="501" spans="5:37" ht="21" x14ac:dyDescent="0.3">
      <c r="E501" s="772" t="s">
        <v>881</v>
      </c>
      <c r="F501" s="772"/>
      <c r="G501" s="772"/>
      <c r="H501" s="772"/>
      <c r="I501" s="772"/>
      <c r="J501" s="772"/>
      <c r="K501" s="772"/>
      <c r="L501" s="772"/>
      <c r="M501" s="772"/>
      <c r="N501" s="772"/>
      <c r="O501" s="772"/>
      <c r="P501" s="772"/>
      <c r="Q501" s="772"/>
      <c r="R501" s="772"/>
      <c r="S501" s="772"/>
      <c r="T501" s="772"/>
      <c r="U501" s="772"/>
      <c r="V501" s="772"/>
      <c r="W501" s="772"/>
      <c r="X501" s="772"/>
      <c r="Y501" s="772"/>
      <c r="Z501" s="772"/>
      <c r="AA501" s="772"/>
      <c r="AB501" s="772"/>
      <c r="AC501" s="772"/>
      <c r="AD501" s="772"/>
      <c r="AE501" s="772"/>
      <c r="AF501" s="772"/>
      <c r="AG501" s="772"/>
      <c r="AH501" s="772"/>
      <c r="AI501" s="772"/>
    </row>
    <row r="503" spans="5:37" s="629" customFormat="1" ht="29.45" customHeight="1" x14ac:dyDescent="0.3">
      <c r="E503" s="801" t="s">
        <v>797</v>
      </c>
      <c r="F503" s="802"/>
      <c r="G503" s="802"/>
      <c r="H503" s="802"/>
      <c r="I503" s="802"/>
      <c r="J503" s="802"/>
      <c r="K503" s="802"/>
      <c r="L503" s="802"/>
      <c r="M503" s="802"/>
      <c r="N503" s="802"/>
      <c r="O503" s="802"/>
      <c r="P503" s="802"/>
      <c r="Q503" s="803"/>
      <c r="R503" s="625"/>
      <c r="S503" s="804" t="s">
        <v>798</v>
      </c>
      <c r="T503" s="804"/>
      <c r="U503" s="804"/>
      <c r="V503" s="804"/>
      <c r="W503" s="804"/>
      <c r="X503" s="804"/>
      <c r="Y503" s="804"/>
      <c r="Z503" s="804"/>
      <c r="AA503" s="804"/>
      <c r="AB503" s="804"/>
      <c r="AC503" s="804"/>
      <c r="AD503" s="804"/>
      <c r="AE503" s="804"/>
      <c r="AF503" s="804"/>
      <c r="AG503" s="804"/>
      <c r="AH503" s="804"/>
      <c r="AI503" s="804"/>
    </row>
    <row r="504" spans="5:37" ht="36.6" customHeight="1" x14ac:dyDescent="0.3">
      <c r="E504" s="807" t="s">
        <v>764</v>
      </c>
      <c r="F504" s="807"/>
      <c r="G504" s="807"/>
      <c r="H504" s="807"/>
      <c r="I504" s="807"/>
      <c r="J504" s="780" t="s">
        <v>813</v>
      </c>
      <c r="K504" s="780"/>
      <c r="L504" s="799" t="s">
        <v>814</v>
      </c>
      <c r="M504" s="800"/>
      <c r="N504" s="800"/>
      <c r="O504" s="800"/>
      <c r="P504" s="781" t="s">
        <v>818</v>
      </c>
      <c r="Q504" s="783"/>
      <c r="S504" s="807" t="s">
        <v>764</v>
      </c>
      <c r="T504" s="807"/>
      <c r="U504" s="807"/>
      <c r="V504" s="807"/>
      <c r="W504" s="807"/>
      <c r="X504" s="780" t="s">
        <v>813</v>
      </c>
      <c r="Y504" s="780"/>
      <c r="Z504" s="805" t="s">
        <v>814</v>
      </c>
      <c r="AA504" s="805"/>
      <c r="AB504" s="805"/>
      <c r="AC504" s="805"/>
      <c r="AD504" s="805"/>
      <c r="AE504" s="805"/>
      <c r="AF504" s="780" t="s">
        <v>819</v>
      </c>
      <c r="AG504" s="780"/>
      <c r="AH504" s="780"/>
      <c r="AI504" s="780"/>
    </row>
    <row r="505" spans="5:37" x14ac:dyDescent="0.3">
      <c r="E505" s="774" t="s">
        <v>758</v>
      </c>
      <c r="F505" s="774"/>
      <c r="G505" s="774"/>
      <c r="H505" s="774"/>
      <c r="I505" s="774"/>
      <c r="J505" s="798">
        <v>6</v>
      </c>
      <c r="K505" s="798"/>
      <c r="L505" s="787">
        <v>2</v>
      </c>
      <c r="M505" s="788"/>
      <c r="N505" s="788"/>
      <c r="O505" s="788"/>
      <c r="P505" s="784">
        <f t="shared" ref="P505:P510" si="1">+L505*J505</f>
        <v>12</v>
      </c>
      <c r="Q505" s="786"/>
      <c r="S505" s="774" t="s">
        <v>758</v>
      </c>
      <c r="T505" s="774"/>
      <c r="U505" s="774"/>
      <c r="V505" s="774"/>
      <c r="W505" s="774"/>
      <c r="X505" s="798">
        <v>6</v>
      </c>
      <c r="Y505" s="798"/>
      <c r="Z505" s="798">
        <v>6</v>
      </c>
      <c r="AA505" s="798"/>
      <c r="AB505" s="798"/>
      <c r="AC505" s="798"/>
      <c r="AD505" s="798"/>
      <c r="AE505" s="798"/>
      <c r="AF505" s="806">
        <f t="shared" ref="AF505:AF510" si="2">+Z505*X505</f>
        <v>36</v>
      </c>
      <c r="AG505" s="806"/>
      <c r="AH505" s="806"/>
      <c r="AI505" s="806"/>
    </row>
    <row r="506" spans="5:37" x14ac:dyDescent="0.3">
      <c r="E506" s="774" t="s">
        <v>759</v>
      </c>
      <c r="F506" s="774"/>
      <c r="G506" s="774"/>
      <c r="H506" s="774"/>
      <c r="I506" s="774"/>
      <c r="J506" s="798">
        <v>12</v>
      </c>
      <c r="K506" s="798"/>
      <c r="L506" s="787">
        <v>2</v>
      </c>
      <c r="M506" s="788"/>
      <c r="N506" s="788"/>
      <c r="O506" s="788"/>
      <c r="P506" s="784">
        <f t="shared" si="1"/>
        <v>24</v>
      </c>
      <c r="Q506" s="786"/>
      <c r="S506" s="774" t="s">
        <v>759</v>
      </c>
      <c r="T506" s="774"/>
      <c r="U506" s="774"/>
      <c r="V506" s="774"/>
      <c r="W506" s="774"/>
      <c r="X506" s="798">
        <v>20</v>
      </c>
      <c r="Y506" s="798"/>
      <c r="Z506" s="798">
        <v>6</v>
      </c>
      <c r="AA506" s="798"/>
      <c r="AB506" s="798"/>
      <c r="AC506" s="798"/>
      <c r="AD506" s="798"/>
      <c r="AE506" s="798"/>
      <c r="AF506" s="806">
        <f t="shared" si="2"/>
        <v>120</v>
      </c>
      <c r="AG506" s="806"/>
      <c r="AH506" s="806"/>
      <c r="AI506" s="806"/>
    </row>
    <row r="507" spans="5:37" x14ac:dyDescent="0.3">
      <c r="E507" s="774" t="s">
        <v>760</v>
      </c>
      <c r="F507" s="774"/>
      <c r="G507" s="774"/>
      <c r="H507" s="774"/>
      <c r="I507" s="774"/>
      <c r="J507" s="798">
        <v>8</v>
      </c>
      <c r="K507" s="798"/>
      <c r="L507" s="787">
        <v>2</v>
      </c>
      <c r="M507" s="788"/>
      <c r="N507" s="788"/>
      <c r="O507" s="788"/>
      <c r="P507" s="784">
        <f t="shared" si="1"/>
        <v>16</v>
      </c>
      <c r="Q507" s="786"/>
      <c r="S507" s="774" t="s">
        <v>760</v>
      </c>
      <c r="T507" s="774"/>
      <c r="U507" s="774"/>
      <c r="V507" s="774"/>
      <c r="W507" s="774"/>
      <c r="X507" s="798">
        <v>11</v>
      </c>
      <c r="Y507" s="798"/>
      <c r="Z507" s="798">
        <v>12</v>
      </c>
      <c r="AA507" s="798"/>
      <c r="AB507" s="798"/>
      <c r="AC507" s="798"/>
      <c r="AD507" s="798"/>
      <c r="AE507" s="798"/>
      <c r="AF507" s="806">
        <f t="shared" si="2"/>
        <v>132</v>
      </c>
      <c r="AG507" s="806"/>
      <c r="AH507" s="806"/>
      <c r="AI507" s="806"/>
    </row>
    <row r="508" spans="5:37" x14ac:dyDescent="0.3">
      <c r="E508" s="774" t="s">
        <v>761</v>
      </c>
      <c r="F508" s="774"/>
      <c r="G508" s="774"/>
      <c r="H508" s="774"/>
      <c r="I508" s="774"/>
      <c r="J508" s="798">
        <v>10</v>
      </c>
      <c r="K508" s="798"/>
      <c r="L508" s="787">
        <v>2</v>
      </c>
      <c r="M508" s="788"/>
      <c r="N508" s="788"/>
      <c r="O508" s="788"/>
      <c r="P508" s="784">
        <f t="shared" si="1"/>
        <v>20</v>
      </c>
      <c r="Q508" s="786"/>
      <c r="S508" s="774" t="s">
        <v>761</v>
      </c>
      <c r="T508" s="774"/>
      <c r="U508" s="774"/>
      <c r="V508" s="774"/>
      <c r="W508" s="774"/>
      <c r="X508" s="798">
        <v>10</v>
      </c>
      <c r="Y508" s="798"/>
      <c r="Z508" s="798">
        <v>2</v>
      </c>
      <c r="AA508" s="798"/>
      <c r="AB508" s="798"/>
      <c r="AC508" s="798"/>
      <c r="AD508" s="798"/>
      <c r="AE508" s="798"/>
      <c r="AF508" s="806">
        <f t="shared" si="2"/>
        <v>20</v>
      </c>
      <c r="AG508" s="806"/>
      <c r="AH508" s="806"/>
      <c r="AI508" s="806"/>
    </row>
    <row r="509" spans="5:37" x14ac:dyDescent="0.3">
      <c r="E509" s="774" t="s">
        <v>762</v>
      </c>
      <c r="F509" s="774"/>
      <c r="G509" s="774"/>
      <c r="H509" s="774"/>
      <c r="I509" s="774"/>
      <c r="J509" s="798">
        <v>4</v>
      </c>
      <c r="K509" s="798"/>
      <c r="L509" s="787">
        <v>6</v>
      </c>
      <c r="M509" s="788"/>
      <c r="N509" s="788"/>
      <c r="O509" s="788"/>
      <c r="P509" s="784">
        <f t="shared" si="1"/>
        <v>24</v>
      </c>
      <c r="Q509" s="786"/>
      <c r="S509" s="774" t="s">
        <v>762</v>
      </c>
      <c r="T509" s="774"/>
      <c r="U509" s="774"/>
      <c r="V509" s="774"/>
      <c r="W509" s="774"/>
      <c r="X509" s="840">
        <v>20.333333333333339</v>
      </c>
      <c r="Y509" s="840"/>
      <c r="Z509" s="798">
        <v>12</v>
      </c>
      <c r="AA509" s="798"/>
      <c r="AB509" s="798"/>
      <c r="AC509" s="798"/>
      <c r="AD509" s="798"/>
      <c r="AE509" s="798"/>
      <c r="AF509" s="806">
        <f t="shared" si="2"/>
        <v>244.00000000000006</v>
      </c>
      <c r="AG509" s="806"/>
      <c r="AH509" s="806"/>
      <c r="AI509" s="806"/>
    </row>
    <row r="510" spans="5:37" x14ac:dyDescent="0.3">
      <c r="E510" s="774" t="s">
        <v>763</v>
      </c>
      <c r="F510" s="774"/>
      <c r="G510" s="774"/>
      <c r="H510" s="774"/>
      <c r="I510" s="774"/>
      <c r="J510" s="798">
        <v>1.0000000000000004</v>
      </c>
      <c r="K510" s="798"/>
      <c r="L510" s="787">
        <v>12</v>
      </c>
      <c r="M510" s="788"/>
      <c r="N510" s="788"/>
      <c r="O510" s="788"/>
      <c r="P510" s="784">
        <f t="shared" si="1"/>
        <v>12.000000000000005</v>
      </c>
      <c r="Q510" s="786"/>
      <c r="S510" s="774" t="s">
        <v>763</v>
      </c>
      <c r="T510" s="774"/>
      <c r="U510" s="774"/>
      <c r="V510" s="774"/>
      <c r="W510" s="774"/>
      <c r="X510" s="798">
        <v>1.0000000000000004</v>
      </c>
      <c r="Y510" s="798"/>
      <c r="Z510" s="798">
        <v>12</v>
      </c>
      <c r="AA510" s="798"/>
      <c r="AB510" s="798"/>
      <c r="AC510" s="798"/>
      <c r="AD510" s="798"/>
      <c r="AE510" s="798"/>
      <c r="AF510" s="806">
        <f t="shared" si="2"/>
        <v>12.000000000000005</v>
      </c>
      <c r="AG510" s="806"/>
      <c r="AH510" s="806"/>
      <c r="AI510" s="806"/>
    </row>
    <row r="511" spans="5:37" x14ac:dyDescent="0.3">
      <c r="E511" s="792" t="s">
        <v>817</v>
      </c>
      <c r="F511" s="793"/>
      <c r="G511" s="793"/>
      <c r="H511" s="793"/>
      <c r="I511" s="793"/>
      <c r="J511" s="793"/>
      <c r="K511" s="793"/>
      <c r="L511" s="793"/>
      <c r="M511" s="793"/>
      <c r="N511" s="793"/>
      <c r="O511" s="794"/>
      <c r="P511" s="784">
        <f>+SUM(P505:P510)</f>
        <v>108</v>
      </c>
      <c r="Q511" s="786"/>
      <c r="S511" s="776" t="s">
        <v>817</v>
      </c>
      <c r="T511" s="776"/>
      <c r="U511" s="776"/>
      <c r="V511" s="776"/>
      <c r="W511" s="776"/>
      <c r="X511" s="776"/>
      <c r="Y511" s="776"/>
      <c r="Z511" s="776"/>
      <c r="AA511" s="776"/>
      <c r="AB511" s="776"/>
      <c r="AC511" s="776"/>
      <c r="AD511" s="776"/>
      <c r="AE511" s="776"/>
      <c r="AF511" s="777">
        <f>+SUM(AF505:AF510)</f>
        <v>564</v>
      </c>
      <c r="AG511" s="777"/>
      <c r="AH511" s="777"/>
      <c r="AI511" s="777"/>
    </row>
    <row r="512" spans="5:37" x14ac:dyDescent="0.3">
      <c r="E512" s="795" t="s">
        <v>816</v>
      </c>
      <c r="F512" s="796"/>
      <c r="G512" s="796"/>
      <c r="H512" s="796"/>
      <c r="I512" s="796"/>
      <c r="J512" s="796"/>
      <c r="K512" s="796"/>
      <c r="L512" s="796"/>
      <c r="M512" s="796"/>
      <c r="N512" s="796"/>
      <c r="O512" s="797"/>
      <c r="P512" s="790">
        <f>+P511/12</f>
        <v>9</v>
      </c>
      <c r="Q512" s="791"/>
      <c r="S512" s="842" t="s">
        <v>816</v>
      </c>
      <c r="T512" s="842"/>
      <c r="U512" s="842"/>
      <c r="V512" s="842"/>
      <c r="W512" s="842"/>
      <c r="X512" s="842"/>
      <c r="Y512" s="842"/>
      <c r="Z512" s="842"/>
      <c r="AA512" s="842"/>
      <c r="AB512" s="842"/>
      <c r="AC512" s="842"/>
      <c r="AD512" s="842"/>
      <c r="AE512" s="842"/>
      <c r="AF512" s="773">
        <f>+AF511/12</f>
        <v>47</v>
      </c>
      <c r="AG512" s="773"/>
      <c r="AH512" s="773"/>
      <c r="AI512" s="773"/>
    </row>
    <row r="515" spans="5:35" ht="21" x14ac:dyDescent="0.3">
      <c r="E515" s="772" t="s">
        <v>940</v>
      </c>
      <c r="F515" s="772"/>
      <c r="G515" s="772"/>
      <c r="H515" s="772"/>
      <c r="I515" s="772"/>
      <c r="J515" s="772"/>
      <c r="K515" s="772"/>
      <c r="L515" s="772"/>
      <c r="M515" s="772"/>
      <c r="N515" s="772"/>
      <c r="O515" s="772"/>
      <c r="P515" s="772"/>
      <c r="Q515" s="772"/>
      <c r="R515" s="772"/>
      <c r="S515" s="772"/>
      <c r="T515" s="772"/>
      <c r="U515" s="772"/>
      <c r="V515" s="772"/>
      <c r="W515" s="772"/>
      <c r="X515" s="772"/>
      <c r="Y515" s="772"/>
      <c r="Z515" s="772"/>
      <c r="AA515" s="772"/>
      <c r="AB515" s="772"/>
      <c r="AC515" s="772"/>
      <c r="AD515" s="772"/>
      <c r="AE515" s="772"/>
      <c r="AF515" s="772"/>
      <c r="AG515" s="772"/>
      <c r="AH515" s="772"/>
      <c r="AI515" s="772"/>
    </row>
    <row r="550" spans="5:38" ht="21" x14ac:dyDescent="0.35">
      <c r="E550" s="644" t="s">
        <v>805</v>
      </c>
    </row>
    <row r="552" spans="5:38" ht="21" x14ac:dyDescent="0.3">
      <c r="E552" s="772" t="s">
        <v>765</v>
      </c>
      <c r="F552" s="772"/>
      <c r="G552" s="772"/>
      <c r="H552" s="772"/>
      <c r="I552" s="772"/>
      <c r="J552" s="772"/>
      <c r="K552" s="772"/>
      <c r="L552" s="772"/>
      <c r="M552" s="772"/>
      <c r="N552" s="772"/>
      <c r="O552" s="772"/>
      <c r="P552" s="772"/>
      <c r="Q552" s="772"/>
      <c r="R552" s="772"/>
      <c r="S552" s="772"/>
      <c r="T552" s="772"/>
      <c r="U552" s="772"/>
      <c r="V552" s="772"/>
      <c r="W552" s="772"/>
      <c r="X552" s="772"/>
      <c r="Y552" s="772"/>
      <c r="Z552" s="772"/>
      <c r="AA552" s="772"/>
      <c r="AB552" s="772"/>
      <c r="AC552" s="772"/>
      <c r="AD552" s="772"/>
      <c r="AE552" s="772"/>
      <c r="AF552" s="772"/>
      <c r="AG552" s="772"/>
      <c r="AH552" s="772"/>
      <c r="AI552" s="772"/>
    </row>
    <row r="554" spans="5:38" ht="21" x14ac:dyDescent="0.35">
      <c r="E554" s="84"/>
      <c r="F554" s="658" t="s">
        <v>96</v>
      </c>
    </row>
    <row r="556" spans="5:38" ht="18" customHeight="1" x14ac:dyDescent="0.3">
      <c r="F556" s="772" t="s">
        <v>769</v>
      </c>
      <c r="G556" s="772"/>
      <c r="H556" s="772"/>
      <c r="I556" s="772"/>
      <c r="J556" s="772"/>
      <c r="K556" s="772"/>
      <c r="L556" s="772"/>
      <c r="M556" s="772"/>
      <c r="N556" s="772"/>
      <c r="O556" s="772"/>
      <c r="P556" s="772"/>
      <c r="Q556" s="772"/>
      <c r="R556" s="772"/>
      <c r="S556" s="772"/>
      <c r="T556" s="772"/>
      <c r="U556" s="772"/>
      <c r="V556" s="772"/>
      <c r="W556" s="772"/>
      <c r="X556" s="772"/>
      <c r="Y556" s="772"/>
      <c r="Z556" s="772"/>
      <c r="AA556" s="772"/>
      <c r="AB556" s="772"/>
      <c r="AC556" s="772"/>
      <c r="AD556" s="772"/>
      <c r="AE556" s="772"/>
      <c r="AF556" s="772"/>
      <c r="AG556" s="772"/>
      <c r="AH556" s="772"/>
      <c r="AI556" s="772"/>
      <c r="AJ556" s="665"/>
      <c r="AK556" s="665"/>
      <c r="AL556" s="665"/>
    </row>
    <row r="557" spans="5:38" ht="25.9" customHeight="1" x14ac:dyDescent="0.3">
      <c r="F557" s="772"/>
      <c r="G557" s="772"/>
      <c r="H557" s="772"/>
      <c r="I557" s="772"/>
      <c r="J557" s="772"/>
      <c r="K557" s="772"/>
      <c r="L557" s="772"/>
      <c r="M557" s="772"/>
      <c r="N557" s="772"/>
      <c r="O557" s="772"/>
      <c r="P557" s="772"/>
      <c r="Q557" s="772"/>
      <c r="R557" s="772"/>
      <c r="S557" s="772"/>
      <c r="T557" s="772"/>
      <c r="U557" s="772"/>
      <c r="V557" s="772"/>
      <c r="W557" s="772"/>
      <c r="X557" s="772"/>
      <c r="Y557" s="772"/>
      <c r="Z557" s="772"/>
      <c r="AA557" s="772"/>
      <c r="AB557" s="772"/>
      <c r="AC557" s="772"/>
      <c r="AD557" s="772"/>
      <c r="AE557" s="772"/>
      <c r="AF557" s="772"/>
      <c r="AG557" s="772"/>
      <c r="AH557" s="772"/>
      <c r="AI557" s="772"/>
      <c r="AJ557" s="665"/>
      <c r="AK557" s="665"/>
      <c r="AL557" s="665"/>
    </row>
    <row r="559" spans="5:38" x14ac:dyDescent="0.3">
      <c r="F559" s="810" t="s">
        <v>820</v>
      </c>
      <c r="G559" s="810"/>
      <c r="H559" s="810"/>
      <c r="I559" s="810"/>
      <c r="J559" s="810"/>
      <c r="K559" s="810"/>
      <c r="L559" s="810"/>
      <c r="M559" s="810"/>
      <c r="N559" s="810"/>
      <c r="O559" s="810"/>
      <c r="P559" s="784">
        <v>2</v>
      </c>
      <c r="Q559" s="785"/>
      <c r="R559" s="786"/>
      <c r="S559" s="631"/>
    </row>
    <row r="560" spans="5:38" x14ac:dyDescent="0.3">
      <c r="F560" s="810" t="s">
        <v>821</v>
      </c>
      <c r="G560" s="810"/>
      <c r="H560" s="810"/>
      <c r="I560" s="810"/>
      <c r="J560" s="810"/>
      <c r="K560" s="810"/>
      <c r="L560" s="810"/>
      <c r="M560" s="810"/>
      <c r="N560" s="810"/>
      <c r="O560" s="810"/>
      <c r="P560" s="784">
        <v>1366</v>
      </c>
      <c r="Q560" s="785"/>
      <c r="R560" s="786"/>
    </row>
    <row r="561" spans="6:38" x14ac:dyDescent="0.3">
      <c r="F561" s="810" t="s">
        <v>822</v>
      </c>
      <c r="G561" s="810"/>
      <c r="H561" s="810"/>
      <c r="I561" s="810"/>
      <c r="J561" s="810"/>
      <c r="K561" s="810"/>
      <c r="L561" s="810"/>
      <c r="M561" s="810"/>
      <c r="N561" s="810"/>
      <c r="O561" s="810"/>
      <c r="P561" s="836">
        <f>+P560/P559</f>
        <v>683</v>
      </c>
      <c r="Q561" s="837"/>
      <c r="R561" s="838"/>
      <c r="T561" s="648"/>
    </row>
    <row r="562" spans="6:38" x14ac:dyDescent="0.3">
      <c r="F562" s="810" t="s">
        <v>886</v>
      </c>
      <c r="G562" s="810"/>
      <c r="H562" s="810"/>
      <c r="I562" s="810"/>
      <c r="J562" s="810"/>
      <c r="K562" s="810"/>
      <c r="L562" s="810"/>
      <c r="M562" s="810"/>
      <c r="N562" s="810"/>
      <c r="O562" s="810"/>
      <c r="P562" s="811">
        <f>+P561/12/4</f>
        <v>14.229166666666666</v>
      </c>
      <c r="Q562" s="812"/>
      <c r="R562" s="813"/>
    </row>
    <row r="564" spans="6:38" ht="21" x14ac:dyDescent="0.35">
      <c r="F564" s="658" t="s">
        <v>767</v>
      </c>
      <c r="G564" s="649"/>
      <c r="H564" s="649"/>
      <c r="I564" s="649"/>
      <c r="J564" s="649"/>
      <c r="K564" s="649"/>
      <c r="L564" s="649"/>
      <c r="M564" s="649"/>
      <c r="N564" s="649"/>
      <c r="O564" s="649"/>
      <c r="P564" s="649"/>
      <c r="Q564" s="649"/>
      <c r="R564" s="649"/>
      <c r="S564" s="649"/>
      <c r="T564" s="649"/>
      <c r="U564" s="649"/>
      <c r="V564" s="649"/>
      <c r="W564" s="649"/>
      <c r="X564" s="649"/>
      <c r="Y564" s="649"/>
      <c r="Z564" s="649"/>
      <c r="AA564" s="649"/>
      <c r="AB564" s="649"/>
      <c r="AC564" s="649"/>
      <c r="AD564" s="649"/>
      <c r="AE564" s="649"/>
      <c r="AF564" s="649"/>
      <c r="AG564" s="649"/>
      <c r="AH564" s="649"/>
      <c r="AI564" s="649"/>
      <c r="AJ564" s="649"/>
      <c r="AK564" s="649"/>
      <c r="AL564" s="649"/>
    </row>
    <row r="565" spans="6:38" ht="51.6" customHeight="1" x14ac:dyDescent="0.3">
      <c r="F565" s="772" t="s">
        <v>768</v>
      </c>
      <c r="G565" s="772"/>
      <c r="H565" s="772"/>
      <c r="I565" s="772"/>
      <c r="J565" s="772"/>
      <c r="K565" s="772"/>
      <c r="L565" s="772"/>
      <c r="M565" s="772"/>
      <c r="N565" s="772"/>
      <c r="O565" s="772"/>
      <c r="P565" s="772"/>
      <c r="Q565" s="772"/>
      <c r="R565" s="772"/>
      <c r="S565" s="772"/>
      <c r="T565" s="772"/>
      <c r="U565" s="772"/>
      <c r="V565" s="772"/>
      <c r="W565" s="772"/>
      <c r="X565" s="772"/>
      <c r="Y565" s="772"/>
      <c r="Z565" s="772"/>
      <c r="AA565" s="772"/>
      <c r="AB565" s="772"/>
      <c r="AC565" s="772"/>
      <c r="AD565" s="772"/>
      <c r="AE565" s="772"/>
      <c r="AF565" s="772"/>
      <c r="AG565" s="772"/>
      <c r="AH565" s="772"/>
      <c r="AI565" s="772"/>
      <c r="AJ565" s="772"/>
      <c r="AK565" s="772"/>
      <c r="AL565" s="772"/>
    </row>
    <row r="567" spans="6:38" ht="53.45" customHeight="1" x14ac:dyDescent="0.3">
      <c r="F567" s="807" t="s">
        <v>770</v>
      </c>
      <c r="G567" s="807"/>
      <c r="H567" s="807"/>
      <c r="I567" s="807"/>
      <c r="J567" s="807"/>
      <c r="K567" s="780" t="s">
        <v>771</v>
      </c>
      <c r="L567" s="780"/>
      <c r="M567" s="780"/>
      <c r="N567" s="780"/>
      <c r="O567" s="781" t="s">
        <v>774</v>
      </c>
      <c r="P567" s="782"/>
      <c r="Q567" s="782"/>
      <c r="R567" s="783"/>
      <c r="S567" s="780" t="s">
        <v>766</v>
      </c>
      <c r="T567" s="780"/>
      <c r="U567" s="780"/>
      <c r="V567" s="780"/>
    </row>
    <row r="568" spans="6:38" ht="18" customHeight="1" x14ac:dyDescent="0.3">
      <c r="F568" s="774" t="s">
        <v>772</v>
      </c>
      <c r="G568" s="774"/>
      <c r="H568" s="774"/>
      <c r="I568" s="774"/>
      <c r="J568" s="774"/>
      <c r="K568" s="784">
        <v>45</v>
      </c>
      <c r="L568" s="785"/>
      <c r="M568" s="785"/>
      <c r="N568" s="786"/>
      <c r="O568" s="787">
        <v>1</v>
      </c>
      <c r="P568" s="788"/>
      <c r="Q568" s="788"/>
      <c r="R568" s="789"/>
      <c r="S568" s="806">
        <f>+O568*K568</f>
        <v>45</v>
      </c>
      <c r="T568" s="806"/>
      <c r="U568" s="806"/>
      <c r="V568" s="806"/>
    </row>
    <row r="569" spans="6:38" ht="18" customHeight="1" x14ac:dyDescent="0.3">
      <c r="F569" s="774" t="s">
        <v>773</v>
      </c>
      <c r="G569" s="774"/>
      <c r="H569" s="774"/>
      <c r="I569" s="774"/>
      <c r="J569" s="774"/>
      <c r="K569" s="784">
        <v>25</v>
      </c>
      <c r="L569" s="785"/>
      <c r="M569" s="785"/>
      <c r="N569" s="786"/>
      <c r="O569" s="787">
        <v>1</v>
      </c>
      <c r="P569" s="788"/>
      <c r="Q569" s="788"/>
      <c r="R569" s="789"/>
      <c r="S569" s="806">
        <f t="shared" ref="S569" si="3">+O569*K569</f>
        <v>25</v>
      </c>
      <c r="T569" s="806"/>
      <c r="U569" s="806"/>
      <c r="V569" s="806"/>
    </row>
    <row r="570" spans="6:38" ht="36.6" customHeight="1" x14ac:dyDescent="0.3">
      <c r="F570" s="775" t="s">
        <v>776</v>
      </c>
      <c r="G570" s="775"/>
      <c r="H570" s="775"/>
      <c r="I570" s="775"/>
      <c r="J570" s="775"/>
      <c r="K570" s="784">
        <v>900</v>
      </c>
      <c r="L570" s="785"/>
      <c r="M570" s="785"/>
      <c r="N570" s="786"/>
      <c r="O570" s="787">
        <v>1</v>
      </c>
      <c r="P570" s="788"/>
      <c r="Q570" s="788"/>
      <c r="R570" s="789"/>
      <c r="S570" s="806">
        <v>842</v>
      </c>
      <c r="T570" s="806"/>
      <c r="U570" s="806"/>
      <c r="V570" s="806"/>
    </row>
    <row r="571" spans="6:38" x14ac:dyDescent="0.3">
      <c r="F571" s="776" t="s">
        <v>817</v>
      </c>
      <c r="G571" s="776"/>
      <c r="H571" s="776"/>
      <c r="I571" s="776"/>
      <c r="J571" s="776"/>
      <c r="K571" s="776"/>
      <c r="L571" s="776"/>
      <c r="M571" s="776"/>
      <c r="N571" s="776"/>
      <c r="O571" s="776"/>
      <c r="P571" s="776"/>
      <c r="Q571" s="776"/>
      <c r="R571" s="776"/>
      <c r="S571" s="777">
        <f>+SUM(S568:S570)</f>
        <v>912</v>
      </c>
      <c r="T571" s="777"/>
      <c r="U571" s="777"/>
      <c r="V571" s="777"/>
    </row>
    <row r="572" spans="6:38" x14ac:dyDescent="0.3">
      <c r="F572" s="778" t="s">
        <v>816</v>
      </c>
      <c r="G572" s="778"/>
      <c r="H572" s="778"/>
      <c r="I572" s="778"/>
      <c r="J572" s="778"/>
      <c r="K572" s="778"/>
      <c r="L572" s="778"/>
      <c r="M572" s="778"/>
      <c r="N572" s="778"/>
      <c r="O572" s="778"/>
      <c r="P572" s="778"/>
      <c r="Q572" s="778"/>
      <c r="R572" s="778"/>
      <c r="S572" s="779">
        <f>+S571/12</f>
        <v>76</v>
      </c>
      <c r="T572" s="779"/>
      <c r="U572" s="779"/>
      <c r="V572" s="779"/>
    </row>
    <row r="573" spans="6:38" ht="35.450000000000003" customHeight="1" x14ac:dyDescent="0.3">
      <c r="F573" s="808" t="s">
        <v>775</v>
      </c>
      <c r="G573" s="808"/>
      <c r="H573" s="808"/>
      <c r="I573" s="808"/>
      <c r="J573" s="808"/>
      <c r="K573" s="808"/>
      <c r="L573" s="808"/>
      <c r="M573" s="808"/>
      <c r="N573" s="808"/>
      <c r="O573" s="808"/>
      <c r="P573" s="808"/>
      <c r="Q573" s="808"/>
      <c r="R573" s="808"/>
      <c r="S573" s="773">
        <f>+S572/4</f>
        <v>19</v>
      </c>
      <c r="T573" s="773"/>
      <c r="U573" s="773"/>
      <c r="V573" s="773"/>
    </row>
    <row r="575" spans="6:38" ht="21" x14ac:dyDescent="0.35">
      <c r="F575" s="649" t="s">
        <v>904</v>
      </c>
    </row>
    <row r="592" spans="5:6" x14ac:dyDescent="0.3">
      <c r="E592" s="626" t="s">
        <v>806</v>
      </c>
      <c r="F592" s="632"/>
    </row>
    <row r="594" spans="6:38" ht="42" customHeight="1" x14ac:dyDescent="0.3">
      <c r="F594" s="772" t="s">
        <v>941</v>
      </c>
      <c r="G594" s="772"/>
      <c r="H594" s="772"/>
      <c r="I594" s="772"/>
      <c r="J594" s="772"/>
      <c r="K594" s="772"/>
      <c r="L594" s="772"/>
      <c r="M594" s="772"/>
      <c r="N594" s="772"/>
      <c r="O594" s="772"/>
      <c r="P594" s="772"/>
      <c r="Q594" s="772"/>
      <c r="R594" s="772"/>
      <c r="S594" s="772"/>
      <c r="T594" s="772"/>
      <c r="U594" s="772"/>
      <c r="V594" s="772"/>
      <c r="W594" s="772"/>
      <c r="X594" s="772"/>
      <c r="Y594" s="772"/>
      <c r="Z594" s="772"/>
      <c r="AA594" s="772"/>
      <c r="AB594" s="772"/>
      <c r="AC594" s="772"/>
      <c r="AD594" s="772"/>
      <c r="AE594" s="772"/>
      <c r="AF594" s="772"/>
      <c r="AG594" s="772"/>
      <c r="AH594" s="772"/>
      <c r="AI594" s="772"/>
      <c r="AJ594" s="772"/>
      <c r="AK594" s="772"/>
      <c r="AL594" s="772"/>
    </row>
    <row r="595" spans="6:38" ht="32.450000000000003" customHeight="1" x14ac:dyDescent="0.3">
      <c r="F595" s="772"/>
      <c r="G595" s="772"/>
      <c r="H595" s="772"/>
      <c r="I595" s="772"/>
      <c r="J595" s="772"/>
      <c r="K595" s="772"/>
      <c r="L595" s="772"/>
      <c r="M595" s="772"/>
      <c r="N595" s="772"/>
      <c r="O595" s="772"/>
      <c r="P595" s="772"/>
      <c r="Q595" s="772"/>
      <c r="R595" s="772"/>
      <c r="S595" s="772"/>
      <c r="T595" s="772"/>
      <c r="U595" s="772"/>
      <c r="V595" s="772"/>
      <c r="W595" s="772"/>
      <c r="X595" s="772"/>
      <c r="Y595" s="772"/>
      <c r="Z595" s="772"/>
      <c r="AA595" s="772"/>
      <c r="AB595" s="772"/>
      <c r="AC595" s="772"/>
      <c r="AD595" s="772"/>
      <c r="AE595" s="772"/>
      <c r="AF595" s="772"/>
      <c r="AG595" s="772"/>
      <c r="AH595" s="772"/>
      <c r="AI595" s="772"/>
      <c r="AJ595" s="772"/>
      <c r="AK595" s="772"/>
      <c r="AL595" s="772"/>
    </row>
    <row r="596" spans="6:38" ht="30.6" customHeight="1" x14ac:dyDescent="0.3">
      <c r="F596" s="807" t="s">
        <v>136</v>
      </c>
      <c r="G596" s="807"/>
      <c r="H596" s="807"/>
      <c r="I596" s="807"/>
      <c r="J596" s="807"/>
      <c r="K596" s="780" t="s">
        <v>823</v>
      </c>
      <c r="L596" s="780"/>
      <c r="M596" s="780"/>
      <c r="N596" s="780"/>
      <c r="O596" s="781" t="s">
        <v>824</v>
      </c>
      <c r="P596" s="782"/>
      <c r="Q596" s="782"/>
      <c r="R596" s="783"/>
      <c r="S596" s="780" t="s">
        <v>815</v>
      </c>
      <c r="T596" s="780"/>
      <c r="U596" s="780"/>
      <c r="V596" s="780"/>
    </row>
    <row r="597" spans="6:38" x14ac:dyDescent="0.3">
      <c r="F597" s="774" t="s">
        <v>777</v>
      </c>
      <c r="G597" s="774"/>
      <c r="H597" s="774"/>
      <c r="I597" s="774"/>
      <c r="J597" s="774"/>
      <c r="K597" s="784">
        <v>423</v>
      </c>
      <c r="L597" s="785"/>
      <c r="M597" s="785"/>
      <c r="N597" s="786"/>
      <c r="O597" s="787">
        <v>1</v>
      </c>
      <c r="P597" s="788"/>
      <c r="Q597" s="788"/>
      <c r="R597" s="789"/>
      <c r="S597" s="806">
        <f>+O597*K597</f>
        <v>423</v>
      </c>
      <c r="T597" s="806"/>
      <c r="U597" s="806"/>
      <c r="V597" s="806"/>
    </row>
    <row r="598" spans="6:38" x14ac:dyDescent="0.3">
      <c r="F598" s="774" t="s">
        <v>778</v>
      </c>
      <c r="G598" s="774"/>
      <c r="H598" s="774"/>
      <c r="I598" s="774"/>
      <c r="J598" s="774"/>
      <c r="K598" s="784">
        <v>825.66666666666663</v>
      </c>
      <c r="L598" s="785"/>
      <c r="M598" s="785"/>
      <c r="N598" s="786"/>
      <c r="O598" s="787">
        <v>3</v>
      </c>
      <c r="P598" s="788"/>
      <c r="Q598" s="788"/>
      <c r="R598" s="789"/>
      <c r="S598" s="806">
        <f t="shared" ref="S598:S600" si="4">+O598*K598</f>
        <v>2477</v>
      </c>
      <c r="T598" s="806"/>
      <c r="U598" s="806"/>
      <c r="V598" s="806"/>
    </row>
    <row r="599" spans="6:38" x14ac:dyDescent="0.3">
      <c r="F599" s="775" t="s">
        <v>779</v>
      </c>
      <c r="G599" s="775"/>
      <c r="H599" s="775"/>
      <c r="I599" s="775"/>
      <c r="J599" s="775"/>
      <c r="K599" s="784">
        <v>470</v>
      </c>
      <c r="L599" s="785"/>
      <c r="M599" s="785"/>
      <c r="N599" s="786"/>
      <c r="O599" s="787">
        <v>2</v>
      </c>
      <c r="P599" s="788"/>
      <c r="Q599" s="788"/>
      <c r="R599" s="789"/>
      <c r="S599" s="806">
        <f t="shared" si="4"/>
        <v>940</v>
      </c>
      <c r="T599" s="806"/>
      <c r="U599" s="806"/>
      <c r="V599" s="806"/>
    </row>
    <row r="600" spans="6:38" x14ac:dyDescent="0.3">
      <c r="F600" s="775" t="s">
        <v>780</v>
      </c>
      <c r="G600" s="775"/>
      <c r="H600" s="775"/>
      <c r="I600" s="775"/>
      <c r="J600" s="775"/>
      <c r="K600" s="784">
        <v>130</v>
      </c>
      <c r="L600" s="785"/>
      <c r="M600" s="785"/>
      <c r="N600" s="786"/>
      <c r="O600" s="787">
        <v>12</v>
      </c>
      <c r="P600" s="788"/>
      <c r="Q600" s="788"/>
      <c r="R600" s="789"/>
      <c r="S600" s="806">
        <f t="shared" si="4"/>
        <v>1560</v>
      </c>
      <c r="T600" s="806"/>
      <c r="U600" s="806"/>
      <c r="V600" s="806"/>
    </row>
    <row r="601" spans="6:38" x14ac:dyDescent="0.3">
      <c r="F601" s="776" t="s">
        <v>817</v>
      </c>
      <c r="G601" s="776"/>
      <c r="H601" s="776"/>
      <c r="I601" s="776"/>
      <c r="J601" s="776"/>
      <c r="K601" s="776"/>
      <c r="L601" s="776"/>
      <c r="M601" s="776"/>
      <c r="N601" s="776"/>
      <c r="O601" s="776"/>
      <c r="P601" s="776"/>
      <c r="Q601" s="776"/>
      <c r="R601" s="776"/>
      <c r="S601" s="777">
        <f>+SUM(S597:S599)</f>
        <v>3840</v>
      </c>
      <c r="T601" s="777"/>
      <c r="U601" s="777"/>
      <c r="V601" s="777"/>
    </row>
    <row r="602" spans="6:38" x14ac:dyDescent="0.3">
      <c r="F602" s="778" t="s">
        <v>816</v>
      </c>
      <c r="G602" s="778"/>
      <c r="H602" s="778"/>
      <c r="I602" s="778"/>
      <c r="J602" s="778"/>
      <c r="K602" s="778"/>
      <c r="L602" s="778"/>
      <c r="M602" s="778"/>
      <c r="N602" s="778"/>
      <c r="O602" s="778"/>
      <c r="P602" s="778"/>
      <c r="Q602" s="778"/>
      <c r="R602" s="778"/>
      <c r="S602" s="779">
        <f>+S601/12</f>
        <v>320</v>
      </c>
      <c r="T602" s="779"/>
      <c r="U602" s="779"/>
      <c r="V602" s="779"/>
    </row>
    <row r="603" spans="6:38" ht="18" customHeight="1" x14ac:dyDescent="0.3">
      <c r="F603" s="808" t="s">
        <v>775</v>
      </c>
      <c r="G603" s="808"/>
      <c r="H603" s="808"/>
      <c r="I603" s="808"/>
      <c r="J603" s="808"/>
      <c r="K603" s="808"/>
      <c r="L603" s="808"/>
      <c r="M603" s="808"/>
      <c r="N603" s="808"/>
      <c r="O603" s="808"/>
      <c r="P603" s="808"/>
      <c r="Q603" s="808"/>
      <c r="R603" s="808"/>
      <c r="S603" s="773">
        <f>+S602/4</f>
        <v>80</v>
      </c>
      <c r="T603" s="773"/>
      <c r="U603" s="773"/>
      <c r="V603" s="773"/>
    </row>
    <row r="607" spans="6:38" ht="21" x14ac:dyDescent="0.35">
      <c r="F607" s="649" t="s">
        <v>915</v>
      </c>
    </row>
    <row r="622" spans="6:6" ht="23.25" x14ac:dyDescent="0.35">
      <c r="F622" s="633" t="s">
        <v>942</v>
      </c>
    </row>
    <row r="624" spans="6:6" ht="21" x14ac:dyDescent="0.35">
      <c r="F624" s="658" t="s">
        <v>858</v>
      </c>
    </row>
    <row r="625" spans="6:35" x14ac:dyDescent="0.3">
      <c r="F625" s="630"/>
    </row>
    <row r="626" spans="6:35" x14ac:dyDescent="0.3">
      <c r="F626" s="772" t="s">
        <v>943</v>
      </c>
      <c r="G626" s="772"/>
      <c r="H626" s="772"/>
      <c r="I626" s="772"/>
      <c r="J626" s="772"/>
      <c r="K626" s="772"/>
      <c r="L626" s="772"/>
      <c r="M626" s="772"/>
      <c r="N626" s="772"/>
      <c r="O626" s="772"/>
      <c r="P626" s="772"/>
      <c r="Q626" s="772"/>
      <c r="R626" s="772"/>
      <c r="S626" s="772"/>
      <c r="T626" s="772"/>
      <c r="U626" s="772"/>
      <c r="V626" s="772"/>
      <c r="W626" s="772"/>
      <c r="X626" s="772"/>
      <c r="Y626" s="772"/>
      <c r="Z626" s="772"/>
      <c r="AA626" s="772"/>
      <c r="AB626" s="772"/>
      <c r="AC626" s="772"/>
      <c r="AD626" s="772"/>
      <c r="AE626" s="772"/>
      <c r="AF626" s="772"/>
      <c r="AG626" s="772"/>
      <c r="AH626" s="772"/>
      <c r="AI626" s="772"/>
    </row>
    <row r="627" spans="6:35" x14ac:dyDescent="0.3">
      <c r="F627" s="772"/>
      <c r="G627" s="772"/>
      <c r="H627" s="772"/>
      <c r="I627" s="772"/>
      <c r="J627" s="772"/>
      <c r="K627" s="772"/>
      <c r="L627" s="772"/>
      <c r="M627" s="772"/>
      <c r="N627" s="772"/>
      <c r="O627" s="772"/>
      <c r="P627" s="772"/>
      <c r="Q627" s="772"/>
      <c r="R627" s="772"/>
      <c r="S627" s="772"/>
      <c r="T627" s="772"/>
      <c r="U627" s="772"/>
      <c r="V627" s="772"/>
      <c r="W627" s="772"/>
      <c r="X627" s="772"/>
      <c r="Y627" s="772"/>
      <c r="Z627" s="772"/>
      <c r="AA627" s="772"/>
      <c r="AB627" s="772"/>
      <c r="AC627" s="772"/>
      <c r="AD627" s="772"/>
      <c r="AE627" s="772"/>
      <c r="AF627" s="772"/>
      <c r="AG627" s="772"/>
      <c r="AH627" s="772"/>
      <c r="AI627" s="772"/>
    </row>
    <row r="629" spans="6:35" x14ac:dyDescent="0.3">
      <c r="F629"/>
    </row>
    <row r="633" spans="6:35" ht="23.45" customHeight="1" x14ac:dyDescent="0.3">
      <c r="H633" s="625" t="s">
        <v>851</v>
      </c>
    </row>
    <row r="634" spans="6:35" ht="18.600000000000001" customHeight="1" x14ac:dyDescent="0.3"/>
    <row r="635" spans="6:35" ht="18.600000000000001" customHeight="1" x14ac:dyDescent="0.3">
      <c r="H635" s="625" t="s">
        <v>852</v>
      </c>
    </row>
    <row r="636" spans="6:35" ht="18.600000000000001" customHeight="1" x14ac:dyDescent="0.3"/>
    <row r="637" spans="6:35" ht="18.600000000000001" customHeight="1" x14ac:dyDescent="0.3">
      <c r="H637" s="625" t="s">
        <v>853</v>
      </c>
    </row>
    <row r="638" spans="6:35" ht="18.600000000000001" customHeight="1" x14ac:dyDescent="0.3"/>
    <row r="639" spans="6:35" ht="18.600000000000001" customHeight="1" x14ac:dyDescent="0.3">
      <c r="H639" s="625" t="s">
        <v>854</v>
      </c>
    </row>
    <row r="641" spans="6:35" ht="21" x14ac:dyDescent="0.35">
      <c r="F641" s="649" t="s">
        <v>855</v>
      </c>
    </row>
    <row r="643" spans="6:35" x14ac:dyDescent="0.3">
      <c r="G643" s="839" t="s">
        <v>859</v>
      </c>
      <c r="H643" s="839"/>
      <c r="I643" s="839"/>
      <c r="J643" s="839"/>
      <c r="K643" s="839"/>
      <c r="L643" s="839"/>
      <c r="M643" s="839"/>
      <c r="N643" s="839"/>
      <c r="O643" s="839"/>
      <c r="P643" s="839"/>
      <c r="Q643" s="839"/>
      <c r="R643" s="839"/>
      <c r="S643" s="839"/>
      <c r="T643" s="839"/>
      <c r="U643" s="864">
        <v>0.66</v>
      </c>
      <c r="V643" s="864"/>
      <c r="W643" s="864"/>
    </row>
    <row r="644" spans="6:35" x14ac:dyDescent="0.3">
      <c r="G644" s="839" t="s">
        <v>860</v>
      </c>
      <c r="H644" s="839"/>
      <c r="I644" s="839"/>
      <c r="J644" s="839"/>
      <c r="K644" s="839"/>
      <c r="L644" s="839"/>
      <c r="M644" s="839"/>
      <c r="N644" s="839"/>
      <c r="O644" s="839"/>
      <c r="P644" s="839"/>
      <c r="Q644" s="839"/>
      <c r="R644" s="839"/>
      <c r="S644" s="839"/>
      <c r="T644" s="839"/>
      <c r="U644" s="864">
        <v>0.34</v>
      </c>
      <c r="V644" s="864"/>
      <c r="W644" s="864"/>
    </row>
    <row r="645" spans="6:35" x14ac:dyDescent="0.3">
      <c r="G645" s="839" t="s">
        <v>856</v>
      </c>
      <c r="H645" s="839"/>
      <c r="I645" s="839"/>
      <c r="J645" s="839"/>
      <c r="K645" s="839"/>
      <c r="L645" s="839"/>
      <c r="M645" s="839"/>
      <c r="N645" s="839"/>
      <c r="O645" s="839"/>
      <c r="P645" s="839"/>
      <c r="Q645" s="839"/>
      <c r="R645" s="839"/>
      <c r="S645" s="839"/>
      <c r="T645" s="839"/>
      <c r="U645" s="865">
        <v>7.6999999999999999E-2</v>
      </c>
      <c r="V645" s="865"/>
      <c r="W645" s="865"/>
    </row>
    <row r="646" spans="6:35" x14ac:dyDescent="0.3">
      <c r="G646" s="839" t="s">
        <v>857</v>
      </c>
      <c r="H646" s="839"/>
      <c r="I646" s="839"/>
      <c r="J646" s="839"/>
      <c r="K646" s="839"/>
      <c r="L646" s="839"/>
      <c r="M646" s="839"/>
      <c r="N646" s="839"/>
      <c r="O646" s="839"/>
      <c r="P646" s="839"/>
      <c r="Q646" s="839"/>
      <c r="R646" s="839"/>
      <c r="S646" s="839"/>
      <c r="T646" s="839"/>
      <c r="U646" s="864">
        <v>0</v>
      </c>
      <c r="V646" s="864"/>
      <c r="W646" s="864"/>
    </row>
    <row r="647" spans="6:35" x14ac:dyDescent="0.3">
      <c r="G647" s="839" t="s">
        <v>858</v>
      </c>
      <c r="H647" s="839"/>
      <c r="I647" s="839"/>
      <c r="J647" s="839"/>
      <c r="K647" s="839"/>
      <c r="L647" s="839"/>
      <c r="M647" s="839"/>
      <c r="N647" s="839"/>
      <c r="O647" s="839"/>
      <c r="P647" s="839"/>
      <c r="Q647" s="839"/>
      <c r="R647" s="839"/>
      <c r="S647" s="839"/>
      <c r="T647" s="839"/>
      <c r="U647" s="871">
        <f>+U643*U645+U644*U646</f>
        <v>5.0820000000000004E-2</v>
      </c>
      <c r="V647" s="871"/>
      <c r="W647" s="871"/>
    </row>
    <row r="650" spans="6:35" ht="43.15" customHeight="1" x14ac:dyDescent="0.3">
      <c r="F650" s="772" t="s">
        <v>944</v>
      </c>
      <c r="G650" s="772"/>
      <c r="H650" s="772"/>
      <c r="I650" s="772"/>
      <c r="J650" s="772"/>
      <c r="K650" s="772"/>
      <c r="L650" s="772"/>
      <c r="M650" s="772"/>
      <c r="N650" s="772"/>
      <c r="O650" s="772"/>
      <c r="P650" s="772"/>
      <c r="Q650" s="772"/>
      <c r="R650" s="772"/>
      <c r="S650" s="772"/>
      <c r="T650" s="772"/>
      <c r="U650" s="772"/>
      <c r="V650" s="772"/>
      <c r="W650" s="772"/>
      <c r="X650" s="772"/>
      <c r="Y650" s="772"/>
      <c r="Z650" s="772"/>
      <c r="AA650" s="772"/>
      <c r="AB650" s="772"/>
      <c r="AC650" s="772"/>
      <c r="AD650" s="772"/>
      <c r="AE650" s="772"/>
      <c r="AF650" s="772"/>
      <c r="AG650" s="772"/>
      <c r="AH650" s="772"/>
      <c r="AI650" s="772"/>
    </row>
    <row r="651" spans="6:35" ht="43.15" customHeight="1" x14ac:dyDescent="0.3">
      <c r="F651" s="772"/>
      <c r="G651" s="772"/>
      <c r="H651" s="772"/>
      <c r="I651" s="772"/>
      <c r="J651" s="772"/>
      <c r="K651" s="772"/>
      <c r="L651" s="772"/>
      <c r="M651" s="772"/>
      <c r="N651" s="772"/>
      <c r="O651" s="772"/>
      <c r="P651" s="772"/>
      <c r="Q651" s="772"/>
      <c r="R651" s="772"/>
      <c r="S651" s="772"/>
      <c r="T651" s="772"/>
      <c r="U651" s="772"/>
      <c r="V651" s="772"/>
      <c r="W651" s="772"/>
      <c r="X651" s="772"/>
      <c r="Y651" s="772"/>
      <c r="Z651" s="772"/>
      <c r="AA651" s="772"/>
      <c r="AB651" s="772"/>
      <c r="AC651" s="772"/>
      <c r="AD651" s="772"/>
      <c r="AE651" s="772"/>
      <c r="AF651" s="772"/>
      <c r="AG651" s="772"/>
      <c r="AH651" s="772"/>
      <c r="AI651" s="772"/>
    </row>
    <row r="660" spans="6:35" ht="21" x14ac:dyDescent="0.35">
      <c r="F660" s="658" t="s">
        <v>208</v>
      </c>
      <c r="G660" s="649"/>
      <c r="H660" s="649"/>
      <c r="I660" s="649"/>
      <c r="J660" s="649"/>
      <c r="K660" s="649"/>
      <c r="L660" s="649"/>
      <c r="M660" s="649"/>
      <c r="N660" s="649"/>
      <c r="O660" s="649"/>
      <c r="P660" s="649"/>
      <c r="Q660" s="649"/>
      <c r="R660" s="649"/>
      <c r="S660" s="649"/>
      <c r="T660" s="649"/>
      <c r="U660" s="649"/>
      <c r="V660" s="649"/>
      <c r="W660" s="649"/>
      <c r="X660" s="649"/>
      <c r="Y660" s="649"/>
      <c r="Z660" s="649"/>
      <c r="AA660" s="661"/>
      <c r="AB660" s="649"/>
      <c r="AC660" s="649"/>
      <c r="AD660" s="649"/>
      <c r="AE660" s="649"/>
      <c r="AF660" s="649"/>
      <c r="AG660" s="649"/>
      <c r="AH660" s="649"/>
      <c r="AI660" s="649"/>
    </row>
    <row r="661" spans="6:35" ht="21" x14ac:dyDescent="0.35">
      <c r="F661" s="649"/>
      <c r="G661" s="649"/>
      <c r="H661" s="649"/>
      <c r="I661" s="649"/>
      <c r="J661" s="649"/>
      <c r="K661" s="649"/>
      <c r="L661" s="649"/>
      <c r="M661" s="649"/>
      <c r="N661" s="649"/>
      <c r="O661" s="649"/>
      <c r="P661" s="649"/>
      <c r="Q661" s="649"/>
      <c r="R661" s="649"/>
      <c r="S661" s="649"/>
      <c r="T661" s="649"/>
      <c r="U661" s="649"/>
      <c r="V661" s="649"/>
      <c r="W661" s="649"/>
      <c r="X661" s="649"/>
      <c r="Y661" s="649"/>
      <c r="Z661" s="649"/>
      <c r="AA661" s="649"/>
      <c r="AB661" s="649"/>
      <c r="AC661" s="649"/>
      <c r="AD661" s="649"/>
      <c r="AE661" s="649"/>
      <c r="AF661" s="649"/>
      <c r="AG661" s="649"/>
      <c r="AH661" s="649"/>
      <c r="AI661" s="649"/>
    </row>
    <row r="662" spans="6:35" x14ac:dyDescent="0.3">
      <c r="F662" s="772" t="s">
        <v>861</v>
      </c>
      <c r="G662" s="772"/>
      <c r="H662" s="772"/>
      <c r="I662" s="772"/>
      <c r="J662" s="772"/>
      <c r="K662" s="772"/>
      <c r="L662" s="772"/>
      <c r="M662" s="772"/>
      <c r="N662" s="772"/>
      <c r="O662" s="772"/>
      <c r="P662" s="772"/>
      <c r="Q662" s="772"/>
      <c r="R662" s="772"/>
      <c r="S662" s="772"/>
      <c r="T662" s="772"/>
      <c r="U662" s="772"/>
      <c r="V662" s="772"/>
      <c r="W662" s="772"/>
      <c r="X662" s="772"/>
      <c r="Y662" s="772"/>
      <c r="Z662" s="772"/>
      <c r="AA662" s="772"/>
      <c r="AB662" s="772"/>
      <c r="AC662" s="772"/>
      <c r="AD662" s="772"/>
      <c r="AE662" s="772"/>
      <c r="AF662" s="772"/>
      <c r="AG662" s="772"/>
      <c r="AH662" s="772"/>
      <c r="AI662" s="772"/>
    </row>
    <row r="663" spans="6:35" x14ac:dyDescent="0.3">
      <c r="F663" s="772"/>
      <c r="G663" s="772"/>
      <c r="H663" s="772"/>
      <c r="I663" s="772"/>
      <c r="J663" s="772"/>
      <c r="K663" s="772"/>
      <c r="L663" s="772"/>
      <c r="M663" s="772"/>
      <c r="N663" s="772"/>
      <c r="O663" s="772"/>
      <c r="P663" s="772"/>
      <c r="Q663" s="772"/>
      <c r="R663" s="772"/>
      <c r="S663" s="772"/>
      <c r="T663" s="772"/>
      <c r="U663" s="772"/>
      <c r="V663" s="772"/>
      <c r="W663" s="772"/>
      <c r="X663" s="772"/>
      <c r="Y663" s="772"/>
      <c r="Z663" s="772"/>
      <c r="AA663" s="772"/>
      <c r="AB663" s="772"/>
      <c r="AC663" s="772"/>
      <c r="AD663" s="772"/>
      <c r="AE663" s="772"/>
      <c r="AF663" s="772"/>
      <c r="AG663" s="772"/>
      <c r="AH663" s="772"/>
      <c r="AI663" s="772"/>
    </row>
    <row r="665" spans="6:35" x14ac:dyDescent="0.3">
      <c r="G665" s="839" t="s">
        <v>866</v>
      </c>
      <c r="H665" s="839"/>
      <c r="I665" s="839"/>
      <c r="J665" s="839"/>
      <c r="K665" s="839"/>
      <c r="L665" s="839"/>
      <c r="M665" s="839"/>
      <c r="N665" s="839"/>
      <c r="O665" s="839"/>
      <c r="P665" s="839"/>
      <c r="Q665" s="839"/>
      <c r="R665" s="839"/>
      <c r="S665" s="839"/>
      <c r="T665" s="839"/>
      <c r="U665" s="870">
        <v>510000</v>
      </c>
      <c r="V665" s="870"/>
      <c r="W665" s="870"/>
    </row>
    <row r="666" spans="6:35" x14ac:dyDescent="0.3">
      <c r="G666" s="839" t="s">
        <v>867</v>
      </c>
      <c r="H666" s="839"/>
      <c r="I666" s="839"/>
      <c r="J666" s="839"/>
      <c r="K666" s="839"/>
      <c r="L666" s="839"/>
      <c r="M666" s="839"/>
      <c r="N666" s="839"/>
      <c r="O666" s="839"/>
      <c r="P666" s="839"/>
      <c r="Q666" s="839"/>
      <c r="R666" s="839"/>
      <c r="S666" s="839"/>
      <c r="T666" s="839"/>
      <c r="U666" s="870">
        <v>2280</v>
      </c>
      <c r="V666" s="870"/>
      <c r="W666" s="870"/>
    </row>
    <row r="667" spans="6:35" x14ac:dyDescent="0.3">
      <c r="G667" s="839" t="s">
        <v>868</v>
      </c>
      <c r="H667" s="839"/>
      <c r="I667" s="839"/>
      <c r="J667" s="839"/>
      <c r="K667" s="839"/>
      <c r="L667" s="839"/>
      <c r="M667" s="839"/>
      <c r="N667" s="839"/>
      <c r="O667" s="839"/>
      <c r="P667" s="839"/>
      <c r="Q667" s="839"/>
      <c r="R667" s="839"/>
      <c r="S667" s="839"/>
      <c r="T667" s="839"/>
      <c r="U667" s="867">
        <v>587618.42105263157</v>
      </c>
      <c r="V667" s="867"/>
      <c r="W667" s="867"/>
      <c r="Y667" s="637"/>
      <c r="Z667" s="868"/>
      <c r="AA667" s="868"/>
    </row>
    <row r="668" spans="6:35" x14ac:dyDescent="0.3">
      <c r="G668" s="839" t="s">
        <v>897</v>
      </c>
      <c r="H668" s="839"/>
      <c r="I668" s="839"/>
      <c r="J668" s="839"/>
      <c r="K668" s="839"/>
      <c r="L668" s="839"/>
      <c r="M668" s="839"/>
      <c r="N668" s="839"/>
      <c r="O668" s="839"/>
      <c r="P668" s="839"/>
      <c r="Q668" s="839"/>
      <c r="R668" s="839"/>
      <c r="S668" s="839"/>
      <c r="T668" s="839"/>
      <c r="U668" s="866">
        <f>+U666/(U665+U666)</f>
        <v>4.4506910283438747E-3</v>
      </c>
      <c r="V668" s="866"/>
      <c r="W668" s="866"/>
      <c r="AB668" s="640"/>
    </row>
    <row r="669" spans="6:35" x14ac:dyDescent="0.3">
      <c r="G669" s="839" t="s">
        <v>869</v>
      </c>
      <c r="H669" s="839"/>
      <c r="I669" s="839"/>
      <c r="J669" s="839"/>
      <c r="K669" s="839"/>
      <c r="L669" s="839"/>
      <c r="M669" s="839"/>
      <c r="N669" s="839"/>
      <c r="O669" s="839"/>
      <c r="P669" s="839"/>
      <c r="Q669" s="839"/>
      <c r="R669" s="839"/>
      <c r="S669" s="839"/>
      <c r="T669" s="839"/>
      <c r="U669" s="867">
        <f>+U668*U667</f>
        <v>2615.3080346685406</v>
      </c>
      <c r="V669" s="867"/>
      <c r="W669" s="867"/>
      <c r="Z669" s="638"/>
      <c r="AA669" s="639"/>
      <c r="AB669" s="638"/>
    </row>
    <row r="670" spans="6:35" x14ac:dyDescent="0.3">
      <c r="Z670" s="638"/>
      <c r="AA670" s="639"/>
      <c r="AB670" s="638"/>
    </row>
    <row r="671" spans="6:35" x14ac:dyDescent="0.3">
      <c r="Z671" s="638"/>
      <c r="AA671" s="639"/>
      <c r="AB671" s="638"/>
    </row>
    <row r="672" spans="6:35" x14ac:dyDescent="0.3">
      <c r="F672" s="772" t="s">
        <v>871</v>
      </c>
      <c r="G672" s="772"/>
      <c r="H672" s="772"/>
      <c r="I672" s="772"/>
      <c r="J672" s="772"/>
      <c r="K672" s="772"/>
      <c r="L672" s="772"/>
      <c r="M672" s="772"/>
      <c r="N672" s="772"/>
      <c r="O672" s="772"/>
      <c r="P672" s="772"/>
      <c r="Q672" s="772"/>
      <c r="R672" s="772"/>
      <c r="S672" s="772"/>
      <c r="T672" s="772"/>
      <c r="U672" s="772"/>
      <c r="V672" s="772"/>
      <c r="W672" s="772"/>
      <c r="X672" s="772"/>
      <c r="Y672" s="772"/>
      <c r="Z672" s="772"/>
      <c r="AA672" s="772"/>
      <c r="AB672" s="772"/>
      <c r="AC672" s="772"/>
      <c r="AD672" s="772"/>
      <c r="AE672" s="772"/>
      <c r="AF672" s="772"/>
      <c r="AG672" s="772"/>
      <c r="AH672" s="772"/>
      <c r="AI672" s="772"/>
    </row>
    <row r="673" spans="6:35" ht="25.5" customHeight="1" x14ac:dyDescent="0.3">
      <c r="F673" s="772"/>
      <c r="G673" s="772"/>
      <c r="H673" s="772"/>
      <c r="I673" s="772"/>
      <c r="J673" s="772"/>
      <c r="K673" s="772"/>
      <c r="L673" s="772"/>
      <c r="M673" s="772"/>
      <c r="N673" s="772"/>
      <c r="O673" s="772"/>
      <c r="P673" s="772"/>
      <c r="Q673" s="772"/>
      <c r="R673" s="772"/>
      <c r="S673" s="772"/>
      <c r="T673" s="772"/>
      <c r="U673" s="772"/>
      <c r="V673" s="772"/>
      <c r="W673" s="772"/>
      <c r="X673" s="772"/>
      <c r="Y673" s="772"/>
      <c r="Z673" s="772"/>
      <c r="AA673" s="772"/>
      <c r="AB673" s="772"/>
      <c r="AC673" s="772"/>
      <c r="AD673" s="772"/>
      <c r="AE673" s="772"/>
      <c r="AF673" s="772"/>
      <c r="AG673" s="772"/>
      <c r="AH673" s="772"/>
      <c r="AI673" s="772"/>
    </row>
    <row r="674" spans="6:35" ht="21" x14ac:dyDescent="0.35">
      <c r="F674" s="649"/>
      <c r="G674" s="649"/>
      <c r="H674" s="649" t="s">
        <v>876</v>
      </c>
      <c r="I674" s="649"/>
      <c r="J674" s="649"/>
      <c r="K674" s="649"/>
      <c r="L674" s="649"/>
      <c r="M674" s="649"/>
      <c r="N674" s="649"/>
      <c r="O674" s="649"/>
      <c r="P674" s="649"/>
      <c r="Q674" s="649"/>
      <c r="R674" s="649"/>
      <c r="S674" s="649"/>
      <c r="T674" s="649"/>
      <c r="U674" s="649"/>
      <c r="V674" s="649"/>
      <c r="W674" s="649"/>
      <c r="X674" s="662"/>
      <c r="Y674" s="649"/>
      <c r="Z674" s="649"/>
      <c r="AA674" s="649"/>
      <c r="AB674" s="649"/>
      <c r="AC674" s="649"/>
      <c r="AD674" s="649"/>
      <c r="AE674" s="649"/>
      <c r="AF674" s="649"/>
      <c r="AG674" s="649"/>
      <c r="AH674" s="649"/>
      <c r="AI674" s="649"/>
    </row>
    <row r="675" spans="6:35" ht="21" x14ac:dyDescent="0.35">
      <c r="F675" s="649"/>
      <c r="G675" s="649"/>
      <c r="H675" s="649" t="s">
        <v>877</v>
      </c>
      <c r="I675" s="649"/>
      <c r="J675" s="649"/>
      <c r="K675" s="649"/>
      <c r="L675" s="649"/>
      <c r="M675" s="649"/>
      <c r="N675" s="649"/>
      <c r="O675" s="649"/>
      <c r="P675" s="649"/>
      <c r="Q675" s="649"/>
      <c r="R675" s="649"/>
      <c r="S675" s="649"/>
      <c r="T675" s="649"/>
      <c r="U675" s="649"/>
      <c r="V675" s="649"/>
      <c r="W675" s="649"/>
      <c r="X675" s="662"/>
      <c r="Y675" s="649"/>
      <c r="Z675" s="649"/>
      <c r="AA675" s="649"/>
      <c r="AB675" s="649"/>
      <c r="AC675" s="649"/>
      <c r="AD675" s="649"/>
      <c r="AE675" s="649"/>
      <c r="AF675" s="649"/>
      <c r="AG675" s="649"/>
      <c r="AH675" s="649"/>
      <c r="AI675" s="649"/>
    </row>
    <row r="676" spans="6:35" ht="21" x14ac:dyDescent="0.35">
      <c r="F676" s="649"/>
      <c r="G676" s="649"/>
      <c r="H676" s="649" t="s">
        <v>878</v>
      </c>
      <c r="I676" s="649"/>
      <c r="J676" s="649"/>
      <c r="K676" s="649"/>
      <c r="L676" s="649"/>
      <c r="M676" s="649"/>
      <c r="N676" s="649"/>
      <c r="O676" s="649"/>
      <c r="P676" s="649"/>
      <c r="Q676" s="649"/>
      <c r="R676" s="649"/>
      <c r="S676" s="649"/>
      <c r="T676" s="649"/>
      <c r="U676" s="649"/>
      <c r="V676" s="649"/>
      <c r="W676" s="649"/>
      <c r="X676" s="662"/>
      <c r="Y676" s="649"/>
      <c r="Z676" s="649"/>
      <c r="AA676" s="649"/>
      <c r="AB676" s="649"/>
      <c r="AC676" s="649"/>
      <c r="AD676" s="649"/>
      <c r="AE676" s="649"/>
      <c r="AF676" s="649"/>
      <c r="AG676" s="649"/>
      <c r="AH676" s="649"/>
      <c r="AI676" s="649"/>
    </row>
    <row r="677" spans="6:35" ht="21" x14ac:dyDescent="0.35">
      <c r="F677" s="649"/>
      <c r="G677" s="649"/>
      <c r="H677" s="649" t="s">
        <v>879</v>
      </c>
      <c r="I677" s="649"/>
      <c r="J677" s="649"/>
      <c r="K677" s="649"/>
      <c r="L677" s="649"/>
      <c r="M677" s="649"/>
      <c r="N677" s="649"/>
      <c r="O677" s="649"/>
      <c r="P677" s="649"/>
      <c r="Q677" s="649"/>
      <c r="R677" s="649"/>
      <c r="S677" s="649"/>
      <c r="T677" s="649"/>
      <c r="U677" s="649"/>
      <c r="V677" s="649"/>
      <c r="W677" s="649"/>
      <c r="X677" s="662"/>
      <c r="Y677" s="649"/>
      <c r="Z677" s="649"/>
      <c r="AA677" s="649"/>
      <c r="AB677" s="649"/>
      <c r="AC677" s="649"/>
      <c r="AD677" s="649"/>
      <c r="AE677" s="649"/>
      <c r="AF677" s="649"/>
      <c r="AG677" s="649"/>
      <c r="AH677" s="649"/>
      <c r="AI677" s="649"/>
    </row>
    <row r="678" spans="6:35" ht="21" x14ac:dyDescent="0.35">
      <c r="F678" s="649"/>
      <c r="G678" s="649"/>
      <c r="H678" s="649"/>
      <c r="I678" s="649"/>
      <c r="J678" s="649"/>
      <c r="K678" s="649"/>
      <c r="L678" s="649"/>
      <c r="M678" s="649"/>
      <c r="N678" s="649"/>
      <c r="O678" s="649"/>
      <c r="P678" s="649"/>
      <c r="Q678" s="649"/>
      <c r="R678" s="649"/>
      <c r="S678" s="649"/>
      <c r="T678" s="649"/>
      <c r="U678" s="649"/>
      <c r="V678" s="649"/>
      <c r="W678" s="649"/>
      <c r="X678" s="649"/>
      <c r="Y678" s="649"/>
      <c r="Z678" s="649"/>
      <c r="AA678" s="649"/>
      <c r="AB678" s="649"/>
      <c r="AC678" s="649"/>
      <c r="AD678" s="649"/>
      <c r="AE678" s="649"/>
      <c r="AF678" s="649"/>
      <c r="AG678" s="649"/>
      <c r="AH678" s="649"/>
      <c r="AI678" s="649"/>
    </row>
    <row r="679" spans="6:35" x14ac:dyDescent="0.3">
      <c r="G679" s="839" t="s">
        <v>872</v>
      </c>
      <c r="H679" s="839"/>
      <c r="I679" s="839"/>
      <c r="J679" s="839"/>
      <c r="K679" s="839"/>
      <c r="L679" s="839"/>
      <c r="M679" s="839"/>
      <c r="N679" s="839"/>
      <c r="O679" s="839"/>
      <c r="P679" s="839"/>
      <c r="Q679" s="839"/>
      <c r="R679" s="839"/>
      <c r="S679" s="839"/>
      <c r="T679" s="839"/>
      <c r="U679" s="872">
        <v>317.52475569223054</v>
      </c>
      <c r="V679" s="872"/>
      <c r="W679" s="872"/>
    </row>
    <row r="680" spans="6:35" x14ac:dyDescent="0.3">
      <c r="G680" s="839" t="s">
        <v>867</v>
      </c>
      <c r="H680" s="839"/>
      <c r="I680" s="839"/>
      <c r="J680" s="839"/>
      <c r="K680" s="839"/>
      <c r="L680" s="839"/>
      <c r="M680" s="839"/>
      <c r="N680" s="839"/>
      <c r="O680" s="839"/>
      <c r="P680" s="839"/>
      <c r="Q680" s="839"/>
      <c r="R680" s="839"/>
      <c r="S680" s="839"/>
      <c r="T680" s="839"/>
      <c r="U680" s="856">
        <v>2280</v>
      </c>
      <c r="V680" s="856"/>
      <c r="W680" s="856"/>
    </row>
    <row r="681" spans="6:35" x14ac:dyDescent="0.3">
      <c r="G681" s="839" t="s">
        <v>874</v>
      </c>
      <c r="H681" s="839"/>
      <c r="I681" s="839"/>
      <c r="J681" s="839"/>
      <c r="K681" s="839"/>
      <c r="L681" s="839"/>
      <c r="M681" s="839"/>
      <c r="N681" s="839"/>
      <c r="O681" s="839"/>
      <c r="P681" s="839"/>
      <c r="Q681" s="839"/>
      <c r="R681" s="839"/>
      <c r="S681" s="839"/>
      <c r="T681" s="839"/>
      <c r="U681" s="872">
        <f>+U680*U679</f>
        <v>723956.4429782856</v>
      </c>
      <c r="V681" s="872"/>
      <c r="W681" s="872"/>
    </row>
    <row r="682" spans="6:35" x14ac:dyDescent="0.3">
      <c r="G682" s="839" t="s">
        <v>873</v>
      </c>
      <c r="H682" s="839"/>
      <c r="I682" s="839"/>
      <c r="J682" s="839"/>
      <c r="K682" s="839"/>
      <c r="L682" s="839"/>
      <c r="M682" s="839"/>
      <c r="N682" s="839"/>
      <c r="O682" s="839"/>
      <c r="P682" s="839"/>
      <c r="Q682" s="839"/>
      <c r="R682" s="839"/>
      <c r="S682" s="839"/>
      <c r="T682" s="839"/>
      <c r="U682" s="872">
        <v>69108.844071985732</v>
      </c>
      <c r="V682" s="872"/>
      <c r="W682" s="872"/>
    </row>
    <row r="683" spans="6:35" x14ac:dyDescent="0.3">
      <c r="G683" s="839" t="s">
        <v>875</v>
      </c>
      <c r="H683" s="839"/>
      <c r="I683" s="839"/>
      <c r="J683" s="839"/>
      <c r="K683" s="839"/>
      <c r="L683" s="839"/>
      <c r="M683" s="839"/>
      <c r="N683" s="839"/>
      <c r="O683" s="839"/>
      <c r="P683" s="839"/>
      <c r="Q683" s="839"/>
      <c r="R683" s="839"/>
      <c r="S683" s="839"/>
      <c r="T683" s="839"/>
      <c r="U683" s="872">
        <f>+U681-U682</f>
        <v>654847.59890629991</v>
      </c>
      <c r="V683" s="872"/>
      <c r="W683" s="872"/>
    </row>
    <row r="684" spans="6:35" x14ac:dyDescent="0.3">
      <c r="G684" s="839" t="s">
        <v>870</v>
      </c>
      <c r="H684" s="839"/>
      <c r="I684" s="839"/>
      <c r="J684" s="839"/>
      <c r="K684" s="839"/>
      <c r="L684" s="839"/>
      <c r="M684" s="839"/>
      <c r="N684" s="839"/>
      <c r="O684" s="839"/>
      <c r="P684" s="839"/>
      <c r="Q684" s="839"/>
      <c r="R684" s="839"/>
      <c r="S684" s="839"/>
      <c r="T684" s="839"/>
      <c r="U684" s="871">
        <f>+U669/U683</f>
        <v>3.9937659373517178E-3</v>
      </c>
      <c r="V684" s="871"/>
      <c r="W684" s="871"/>
    </row>
    <row r="687" spans="6:35" x14ac:dyDescent="0.3">
      <c r="F687" s="772" t="s">
        <v>898</v>
      </c>
      <c r="G687" s="772"/>
      <c r="H687" s="772"/>
      <c r="I687" s="772"/>
      <c r="J687" s="772"/>
      <c r="K687" s="772"/>
      <c r="L687" s="772"/>
      <c r="M687" s="772"/>
      <c r="N687" s="772"/>
      <c r="O687" s="772"/>
      <c r="P687" s="772"/>
      <c r="Q687" s="772"/>
      <c r="R687" s="772"/>
      <c r="S687" s="772"/>
      <c r="T687" s="772"/>
      <c r="U687" s="772"/>
      <c r="V687" s="772"/>
      <c r="W687" s="772"/>
      <c r="X687" s="772"/>
      <c r="Y687" s="772"/>
      <c r="Z687" s="772"/>
      <c r="AA687" s="772"/>
      <c r="AB687" s="772"/>
      <c r="AC687" s="772"/>
      <c r="AD687" s="772"/>
      <c r="AE687" s="772"/>
      <c r="AF687" s="772"/>
      <c r="AG687" s="772"/>
      <c r="AH687" s="772"/>
      <c r="AI687" s="772"/>
    </row>
    <row r="688" spans="6:35" x14ac:dyDescent="0.3">
      <c r="F688" s="772"/>
      <c r="G688" s="772"/>
      <c r="H688" s="772"/>
      <c r="I688" s="772"/>
      <c r="J688" s="772"/>
      <c r="K688" s="772"/>
      <c r="L688" s="772"/>
      <c r="M688" s="772"/>
      <c r="N688" s="772"/>
      <c r="O688" s="772"/>
      <c r="P688" s="772"/>
      <c r="Q688" s="772"/>
      <c r="R688" s="772"/>
      <c r="S688" s="772"/>
      <c r="T688" s="772"/>
      <c r="U688" s="772"/>
      <c r="V688" s="772"/>
      <c r="W688" s="772"/>
      <c r="X688" s="772"/>
      <c r="Y688" s="772"/>
      <c r="Z688" s="772"/>
      <c r="AA688" s="772"/>
      <c r="AB688" s="772"/>
      <c r="AC688" s="772"/>
      <c r="AD688" s="772"/>
      <c r="AE688" s="772"/>
      <c r="AF688" s="772"/>
      <c r="AG688" s="772"/>
      <c r="AH688" s="772"/>
      <c r="AI688" s="772"/>
    </row>
    <row r="701" spans="5:37" x14ac:dyDescent="0.3">
      <c r="Z701" s="668"/>
    </row>
    <row r="702" spans="5:37" ht="23.25" x14ac:dyDescent="0.35">
      <c r="E702" s="633" t="s">
        <v>400</v>
      </c>
      <c r="R702" s="668"/>
      <c r="Z702" s="636"/>
    </row>
    <row r="704" spans="5:37" ht="50.45" customHeight="1" x14ac:dyDescent="0.35">
      <c r="F704" s="771" t="s">
        <v>945</v>
      </c>
      <c r="G704" s="771"/>
      <c r="H704" s="771"/>
      <c r="I704" s="771"/>
      <c r="J704" s="771"/>
      <c r="K704" s="771"/>
      <c r="L704" s="771"/>
      <c r="M704" s="771"/>
      <c r="N704" s="771"/>
      <c r="O704" s="771"/>
      <c r="P704" s="771"/>
      <c r="Q704" s="771"/>
      <c r="R704" s="771"/>
      <c r="S704" s="771"/>
      <c r="T704" s="771"/>
      <c r="U704" s="771"/>
      <c r="V704" s="771"/>
      <c r="W704" s="771"/>
      <c r="X704" s="771"/>
      <c r="Y704" s="771"/>
      <c r="Z704" s="771"/>
      <c r="AA704" s="771"/>
      <c r="AB704" s="771"/>
      <c r="AC704" s="771"/>
      <c r="AD704" s="771"/>
      <c r="AE704" s="771"/>
      <c r="AF704" s="771"/>
      <c r="AG704" s="771"/>
      <c r="AH704" s="771"/>
      <c r="AI704" s="771"/>
      <c r="AJ704" s="771"/>
      <c r="AK704" s="771"/>
    </row>
    <row r="705" spans="4:35" x14ac:dyDescent="0.3">
      <c r="AB705" s="636"/>
    </row>
    <row r="707" spans="4:35" ht="21" x14ac:dyDescent="0.35">
      <c r="E707" s="649" t="s">
        <v>946</v>
      </c>
    </row>
    <row r="708" spans="4:35" x14ac:dyDescent="0.3">
      <c r="AB708" s="667"/>
    </row>
    <row r="709" spans="4:35" x14ac:dyDescent="0.3">
      <c r="AB709" s="636"/>
    </row>
    <row r="711" spans="4:35" ht="26.25" x14ac:dyDescent="0.4">
      <c r="D711" s="646"/>
    </row>
    <row r="715" spans="4:35" ht="45" customHeight="1" x14ac:dyDescent="0.3">
      <c r="D715" s="772" t="s">
        <v>920</v>
      </c>
      <c r="E715" s="772"/>
      <c r="F715" s="772"/>
      <c r="G715" s="772"/>
      <c r="H715" s="772"/>
      <c r="I715" s="772"/>
      <c r="J715" s="772"/>
      <c r="K715" s="772"/>
      <c r="L715" s="772"/>
      <c r="M715" s="772"/>
      <c r="N715" s="772"/>
      <c r="O715" s="772"/>
      <c r="P715" s="772"/>
      <c r="Q715" s="772"/>
      <c r="R715" s="772"/>
      <c r="S715" s="772"/>
      <c r="T715" s="772"/>
      <c r="U715" s="772"/>
      <c r="V715" s="772"/>
      <c r="W715" s="772"/>
      <c r="X715" s="772"/>
      <c r="Y715" s="772"/>
      <c r="Z715" s="772"/>
      <c r="AA715" s="772"/>
      <c r="AB715" s="772"/>
      <c r="AC715" s="772"/>
      <c r="AD715" s="772"/>
      <c r="AE715" s="772"/>
      <c r="AF715" s="772"/>
      <c r="AG715" s="772"/>
      <c r="AH715" s="772"/>
      <c r="AI715" s="772"/>
    </row>
    <row r="738" spans="4:35" ht="44.45" customHeight="1" x14ac:dyDescent="0.3">
      <c r="D738" s="772" t="s">
        <v>921</v>
      </c>
      <c r="E738" s="772"/>
      <c r="F738" s="772"/>
      <c r="G738" s="772"/>
      <c r="H738" s="772"/>
      <c r="I738" s="772"/>
      <c r="J738" s="772"/>
      <c r="K738" s="772"/>
      <c r="L738" s="772"/>
      <c r="M738" s="772"/>
      <c r="N738" s="772"/>
      <c r="O738" s="772"/>
      <c r="P738" s="772"/>
      <c r="Q738" s="772"/>
      <c r="R738" s="772"/>
      <c r="S738" s="772"/>
      <c r="T738" s="772"/>
      <c r="U738" s="772"/>
      <c r="V738" s="772"/>
      <c r="W738" s="772"/>
      <c r="X738" s="772"/>
      <c r="Y738" s="772"/>
      <c r="Z738" s="772"/>
      <c r="AA738" s="772"/>
      <c r="AB738" s="772"/>
      <c r="AC738" s="772"/>
      <c r="AD738" s="772"/>
      <c r="AE738" s="772"/>
      <c r="AF738" s="772"/>
      <c r="AG738" s="772"/>
      <c r="AH738" s="772"/>
      <c r="AI738" s="772"/>
    </row>
    <row r="758" spans="4:36" ht="26.25" x14ac:dyDescent="0.4">
      <c r="D758" s="646"/>
    </row>
    <row r="761" spans="4:36" ht="23.25" x14ac:dyDescent="0.35">
      <c r="D761" s="633"/>
    </row>
    <row r="762" spans="4:36" ht="23.25" x14ac:dyDescent="0.35">
      <c r="D762" s="633"/>
    </row>
    <row r="763" spans="4:36" ht="23.25" x14ac:dyDescent="0.35">
      <c r="D763" s="633"/>
    </row>
    <row r="764" spans="4:36" ht="23.25" x14ac:dyDescent="0.35">
      <c r="D764" s="633"/>
    </row>
    <row r="765" spans="4:36" ht="23.25" x14ac:dyDescent="0.35">
      <c r="D765" s="633"/>
    </row>
    <row r="766" spans="4:36" ht="41.45" customHeight="1" x14ac:dyDescent="0.35">
      <c r="D766" s="633"/>
      <c r="E766" s="772" t="s">
        <v>922</v>
      </c>
      <c r="F766" s="772"/>
      <c r="G766" s="772"/>
      <c r="H766" s="772"/>
      <c r="I766" s="772"/>
      <c r="J766" s="772"/>
      <c r="K766" s="772"/>
      <c r="L766" s="772"/>
      <c r="M766" s="772"/>
      <c r="N766" s="772"/>
      <c r="O766" s="772"/>
      <c r="P766" s="772"/>
      <c r="Q766" s="772"/>
      <c r="R766" s="772"/>
      <c r="S766" s="772"/>
      <c r="T766" s="772"/>
      <c r="U766" s="772"/>
      <c r="V766" s="772"/>
      <c r="W766" s="772"/>
      <c r="X766" s="772"/>
      <c r="Y766" s="772"/>
      <c r="Z766" s="772"/>
      <c r="AA766" s="772"/>
      <c r="AB766" s="772"/>
      <c r="AC766" s="772"/>
      <c r="AD766" s="772"/>
      <c r="AE766" s="772"/>
      <c r="AF766" s="772"/>
      <c r="AG766" s="772"/>
      <c r="AH766" s="772"/>
      <c r="AI766" s="772"/>
      <c r="AJ766" s="772"/>
    </row>
    <row r="770" spans="3:36" ht="23.25" x14ac:dyDescent="0.35">
      <c r="D770" s="633"/>
    </row>
    <row r="771" spans="3:36" ht="23.25" x14ac:dyDescent="0.35">
      <c r="D771" s="633"/>
    </row>
    <row r="772" spans="3:36" ht="23.25" x14ac:dyDescent="0.35">
      <c r="D772" s="633"/>
    </row>
    <row r="773" spans="3:36" ht="23.25" x14ac:dyDescent="0.35">
      <c r="D773" s="633"/>
    </row>
    <row r="774" spans="3:36" ht="23.25" x14ac:dyDescent="0.35">
      <c r="D774" s="633"/>
    </row>
    <row r="775" spans="3:36" ht="23.25" x14ac:dyDescent="0.35">
      <c r="D775" s="633"/>
    </row>
    <row r="776" spans="3:36" ht="23.25" x14ac:dyDescent="0.35">
      <c r="D776" s="633"/>
    </row>
    <row r="777" spans="3:36" ht="23.25" x14ac:dyDescent="0.35">
      <c r="D777" s="633"/>
    </row>
    <row r="781" spans="3:36" ht="57" customHeight="1" x14ac:dyDescent="0.3">
      <c r="E781" s="772" t="s">
        <v>923</v>
      </c>
      <c r="F781" s="772"/>
      <c r="G781" s="772"/>
      <c r="H781" s="772"/>
      <c r="I781" s="772"/>
      <c r="J781" s="772"/>
      <c r="K781" s="772"/>
      <c r="L781" s="772"/>
      <c r="M781" s="772"/>
      <c r="N781" s="772"/>
      <c r="O781" s="772"/>
      <c r="P781" s="772"/>
      <c r="Q781" s="772"/>
      <c r="R781" s="772"/>
      <c r="S781" s="772"/>
      <c r="T781" s="772"/>
      <c r="U781" s="772"/>
      <c r="V781" s="772"/>
      <c r="W781" s="772"/>
      <c r="X781" s="772"/>
      <c r="Y781" s="772"/>
      <c r="Z781" s="772"/>
      <c r="AA781" s="772"/>
      <c r="AB781" s="772"/>
      <c r="AC781" s="772"/>
      <c r="AD781" s="772"/>
      <c r="AE781" s="772"/>
      <c r="AF781" s="772"/>
      <c r="AG781" s="772"/>
      <c r="AH781" s="772"/>
      <c r="AI781" s="772"/>
      <c r="AJ781" s="772"/>
    </row>
    <row r="784" spans="3:36" ht="26.25" x14ac:dyDescent="0.4">
      <c r="C784" s="646"/>
    </row>
    <row r="786" spans="3:36" ht="23.25" x14ac:dyDescent="0.35">
      <c r="C786" s="633"/>
    </row>
    <row r="787" spans="3:36" ht="23.25" x14ac:dyDescent="0.35">
      <c r="C787" s="633"/>
    </row>
    <row r="788" spans="3:36" ht="23.25" x14ac:dyDescent="0.35">
      <c r="C788" s="633"/>
    </row>
    <row r="789" spans="3:36" ht="23.25" x14ac:dyDescent="0.35">
      <c r="C789" s="633"/>
    </row>
    <row r="790" spans="3:36" ht="23.25" x14ac:dyDescent="0.35">
      <c r="C790" s="633"/>
    </row>
    <row r="791" spans="3:36" ht="23.25" x14ac:dyDescent="0.35">
      <c r="C791" s="633"/>
    </row>
    <row r="792" spans="3:36" ht="23.25" x14ac:dyDescent="0.35">
      <c r="C792" s="633"/>
    </row>
    <row r="793" spans="3:36" ht="23.25" x14ac:dyDescent="0.35">
      <c r="C793" s="633"/>
    </row>
    <row r="795" spans="3:36" ht="23.25" x14ac:dyDescent="0.35">
      <c r="C795" s="633"/>
    </row>
    <row r="796" spans="3:36" ht="49.15" customHeight="1" x14ac:dyDescent="0.35">
      <c r="C796" s="633"/>
      <c r="E796" s="772" t="s">
        <v>924</v>
      </c>
      <c r="F796" s="772"/>
      <c r="G796" s="772"/>
      <c r="H796" s="772"/>
      <c r="I796" s="772"/>
      <c r="J796" s="772"/>
      <c r="K796" s="772"/>
      <c r="L796" s="772"/>
      <c r="M796" s="772"/>
      <c r="N796" s="772"/>
      <c r="O796" s="772"/>
      <c r="P796" s="772"/>
      <c r="Q796" s="772"/>
      <c r="R796" s="772"/>
      <c r="S796" s="772"/>
      <c r="T796" s="772"/>
      <c r="U796" s="772"/>
      <c r="V796" s="772"/>
      <c r="W796" s="772"/>
      <c r="X796" s="772"/>
      <c r="Y796" s="772"/>
      <c r="Z796" s="772"/>
      <c r="AA796" s="772"/>
      <c r="AB796" s="772"/>
      <c r="AC796" s="772"/>
      <c r="AD796" s="772"/>
      <c r="AE796" s="772"/>
      <c r="AF796" s="772"/>
      <c r="AG796" s="772"/>
      <c r="AH796" s="772"/>
      <c r="AI796" s="772"/>
      <c r="AJ796" s="772"/>
    </row>
    <row r="797" spans="3:36" ht="23.25" x14ac:dyDescent="0.35">
      <c r="C797" s="633"/>
    </row>
    <row r="798" spans="3:36" ht="23.25" x14ac:dyDescent="0.35">
      <c r="C798" s="633"/>
    </row>
    <row r="799" spans="3:36" ht="23.25" x14ac:dyDescent="0.35">
      <c r="C799" s="633"/>
    </row>
    <row r="800" spans="3:36" ht="23.25" x14ac:dyDescent="0.35">
      <c r="C800" s="633"/>
    </row>
    <row r="801" spans="3:36" ht="23.25" x14ac:dyDescent="0.35">
      <c r="C801" s="633"/>
    </row>
    <row r="802" spans="3:36" ht="23.25" x14ac:dyDescent="0.35">
      <c r="C802" s="633"/>
    </row>
    <row r="803" spans="3:36" ht="23.25" x14ac:dyDescent="0.35">
      <c r="C803" s="633"/>
    </row>
    <row r="804" spans="3:36" ht="23.25" x14ac:dyDescent="0.35">
      <c r="C804" s="633"/>
    </row>
    <row r="805" spans="3:36" ht="23.25" x14ac:dyDescent="0.35">
      <c r="C805" s="633"/>
    </row>
    <row r="806" spans="3:36" ht="23.25" x14ac:dyDescent="0.35">
      <c r="C806" s="633"/>
    </row>
    <row r="807" spans="3:36" ht="23.25" x14ac:dyDescent="0.35">
      <c r="C807" s="633"/>
    </row>
    <row r="808" spans="3:36" ht="21" x14ac:dyDescent="0.3">
      <c r="E808" s="772" t="s">
        <v>925</v>
      </c>
      <c r="F808" s="772"/>
      <c r="G808" s="772"/>
      <c r="H808" s="772"/>
      <c r="I808" s="772"/>
      <c r="J808" s="772"/>
      <c r="K808" s="772"/>
      <c r="L808" s="772"/>
      <c r="M808" s="772"/>
      <c r="N808" s="772"/>
      <c r="O808" s="772"/>
      <c r="P808" s="772"/>
      <c r="Q808" s="772"/>
      <c r="R808" s="772"/>
      <c r="S808" s="772"/>
      <c r="T808" s="772"/>
      <c r="U808" s="772"/>
      <c r="V808" s="772"/>
      <c r="W808" s="772"/>
      <c r="X808" s="772"/>
      <c r="Y808" s="772"/>
      <c r="Z808" s="772"/>
      <c r="AA808" s="772"/>
      <c r="AB808" s="772"/>
      <c r="AC808" s="772"/>
      <c r="AD808" s="772"/>
      <c r="AE808" s="772"/>
      <c r="AF808" s="772"/>
      <c r="AG808" s="772"/>
      <c r="AH808" s="772"/>
      <c r="AI808" s="772"/>
      <c r="AJ808" s="772"/>
    </row>
    <row r="824" spans="6:37" ht="65.25" customHeight="1" x14ac:dyDescent="0.3">
      <c r="F824" s="772" t="s">
        <v>947</v>
      </c>
      <c r="G824" s="772"/>
      <c r="H824" s="772"/>
      <c r="I824" s="772"/>
      <c r="J824" s="772"/>
      <c r="K824" s="772"/>
      <c r="L824" s="772"/>
      <c r="M824" s="772"/>
      <c r="N824" s="772"/>
      <c r="O824" s="772"/>
      <c r="P824" s="772"/>
      <c r="Q824" s="772"/>
      <c r="R824" s="772"/>
      <c r="S824" s="772"/>
      <c r="T824" s="772"/>
      <c r="U824" s="772"/>
      <c r="V824" s="772"/>
      <c r="W824" s="772"/>
      <c r="X824" s="772"/>
      <c r="Y824" s="772"/>
      <c r="Z824" s="772"/>
      <c r="AA824" s="772"/>
      <c r="AB824" s="772"/>
      <c r="AC824" s="772"/>
      <c r="AD824" s="772"/>
      <c r="AE824" s="772"/>
      <c r="AF824" s="772"/>
      <c r="AG824" s="772"/>
      <c r="AH824" s="772"/>
      <c r="AI824" s="772"/>
      <c r="AJ824" s="772"/>
      <c r="AK824" s="772"/>
    </row>
    <row r="848" spans="6:37" ht="57.6" customHeight="1" x14ac:dyDescent="0.3">
      <c r="F848" s="772" t="s">
        <v>926</v>
      </c>
      <c r="G848" s="772"/>
      <c r="H848" s="772"/>
      <c r="I848" s="772"/>
      <c r="J848" s="772"/>
      <c r="K848" s="772"/>
      <c r="L848" s="772"/>
      <c r="M848" s="772"/>
      <c r="N848" s="772"/>
      <c r="O848" s="772"/>
      <c r="P848" s="772"/>
      <c r="Q848" s="772"/>
      <c r="R848" s="772"/>
      <c r="S848" s="772"/>
      <c r="T848" s="772"/>
      <c r="U848" s="772"/>
      <c r="V848" s="772"/>
      <c r="W848" s="772"/>
      <c r="X848" s="772"/>
      <c r="Y848" s="772"/>
      <c r="Z848" s="772"/>
      <c r="AA848" s="772"/>
      <c r="AB848" s="772"/>
      <c r="AC848" s="772"/>
      <c r="AD848" s="772"/>
      <c r="AE848" s="772"/>
      <c r="AF848" s="772"/>
      <c r="AG848" s="772"/>
      <c r="AH848" s="772"/>
      <c r="AI848" s="772"/>
      <c r="AJ848" s="772"/>
      <c r="AK848" s="772"/>
    </row>
    <row r="863" spans="6:37" ht="89.25" customHeight="1" x14ac:dyDescent="0.3">
      <c r="F863" s="772" t="s">
        <v>948</v>
      </c>
      <c r="G863" s="772"/>
      <c r="H863" s="772"/>
      <c r="I863" s="772"/>
      <c r="J863" s="772"/>
      <c r="K863" s="772"/>
      <c r="L863" s="772"/>
      <c r="M863" s="772"/>
      <c r="N863" s="772"/>
      <c r="O863" s="772"/>
      <c r="P863" s="772"/>
      <c r="Q863" s="772"/>
      <c r="R863" s="772"/>
      <c r="S863" s="772"/>
      <c r="T863" s="772"/>
      <c r="U863" s="772"/>
      <c r="V863" s="772"/>
      <c r="W863" s="772"/>
      <c r="X863" s="772"/>
      <c r="Y863" s="772"/>
      <c r="Z863" s="772"/>
      <c r="AA863" s="772"/>
      <c r="AB863" s="772"/>
      <c r="AC863" s="772"/>
      <c r="AD863" s="772"/>
      <c r="AE863" s="772"/>
      <c r="AF863" s="772"/>
      <c r="AG863" s="772"/>
      <c r="AH863" s="772"/>
      <c r="AI863" s="772"/>
      <c r="AJ863" s="772"/>
      <c r="AK863" s="772"/>
    </row>
  </sheetData>
  <mergeCells count="377">
    <mergeCell ref="G680:T680"/>
    <mergeCell ref="U681:W681"/>
    <mergeCell ref="U679:W679"/>
    <mergeCell ref="G683:T683"/>
    <mergeCell ref="U683:W683"/>
    <mergeCell ref="G684:T684"/>
    <mergeCell ref="U684:W684"/>
    <mergeCell ref="U680:W680"/>
    <mergeCell ref="G679:T679"/>
    <mergeCell ref="G681:T681"/>
    <mergeCell ref="G682:T682"/>
    <mergeCell ref="U682:W682"/>
    <mergeCell ref="G668:T668"/>
    <mergeCell ref="U668:W668"/>
    <mergeCell ref="G669:T669"/>
    <mergeCell ref="U669:W669"/>
    <mergeCell ref="Z667:AA667"/>
    <mergeCell ref="R464:U464"/>
    <mergeCell ref="R465:U465"/>
    <mergeCell ref="R466:U466"/>
    <mergeCell ref="R467:U467"/>
    <mergeCell ref="G665:T665"/>
    <mergeCell ref="U665:W665"/>
    <mergeCell ref="G666:T666"/>
    <mergeCell ref="U666:W666"/>
    <mergeCell ref="G667:T667"/>
    <mergeCell ref="U667:W667"/>
    <mergeCell ref="G647:T647"/>
    <mergeCell ref="U647:W647"/>
    <mergeCell ref="S504:W504"/>
    <mergeCell ref="X504:Y504"/>
    <mergeCell ref="S511:AE511"/>
    <mergeCell ref="S570:V570"/>
    <mergeCell ref="S568:V568"/>
    <mergeCell ref="F569:J569"/>
    <mergeCell ref="S569:V569"/>
    <mergeCell ref="R131:T131"/>
    <mergeCell ref="R132:T132"/>
    <mergeCell ref="R133:T133"/>
    <mergeCell ref="G644:T644"/>
    <mergeCell ref="U644:W644"/>
    <mergeCell ref="G645:T645"/>
    <mergeCell ref="U645:W645"/>
    <mergeCell ref="G646:T646"/>
    <mergeCell ref="U646:W646"/>
    <mergeCell ref="G280:W280"/>
    <mergeCell ref="G281:W281"/>
    <mergeCell ref="G282:W282"/>
    <mergeCell ref="G283:W283"/>
    <mergeCell ref="G284:W284"/>
    <mergeCell ref="G285:W285"/>
    <mergeCell ref="E446:AJ446"/>
    <mergeCell ref="G643:T643"/>
    <mergeCell ref="U643:W643"/>
    <mergeCell ref="G308:T308"/>
    <mergeCell ref="U308:W308"/>
    <mergeCell ref="G309:T309"/>
    <mergeCell ref="U309:W309"/>
    <mergeCell ref="G310:T310"/>
    <mergeCell ref="U310:W310"/>
    <mergeCell ref="G311:T311"/>
    <mergeCell ref="U311:W311"/>
    <mergeCell ref="G312:T312"/>
    <mergeCell ref="U312:W312"/>
    <mergeCell ref="X285:Z285"/>
    <mergeCell ref="G304:AM305"/>
    <mergeCell ref="G306:T306"/>
    <mergeCell ref="U306:W306"/>
    <mergeCell ref="G307:T307"/>
    <mergeCell ref="U307:W307"/>
    <mergeCell ref="G286:W286"/>
    <mergeCell ref="G278:AM278"/>
    <mergeCell ref="G260:AM260"/>
    <mergeCell ref="X280:Z280"/>
    <mergeCell ref="X286:Z286"/>
    <mergeCell ref="X281:Z281"/>
    <mergeCell ref="X282:Z282"/>
    <mergeCell ref="X283:Z283"/>
    <mergeCell ref="X284:Z284"/>
    <mergeCell ref="X275:Z275"/>
    <mergeCell ref="X274:Z274"/>
    <mergeCell ref="G275:W275"/>
    <mergeCell ref="G272:W272"/>
    <mergeCell ref="G273:W273"/>
    <mergeCell ref="G274:W274"/>
    <mergeCell ref="P262:R262"/>
    <mergeCell ref="P263:R263"/>
    <mergeCell ref="P265:R265"/>
    <mergeCell ref="P264:R264"/>
    <mergeCell ref="X272:Z272"/>
    <mergeCell ref="X273:Z273"/>
    <mergeCell ref="G270:AM270"/>
    <mergeCell ref="P266:R266"/>
    <mergeCell ref="G262:O262"/>
    <mergeCell ref="G263:O263"/>
    <mergeCell ref="S167:T167"/>
    <mergeCell ref="S168:T168"/>
    <mergeCell ref="S169:T169"/>
    <mergeCell ref="S170:T170"/>
    <mergeCell ref="S171:T171"/>
    <mergeCell ref="G212:O212"/>
    <mergeCell ref="P212:X212"/>
    <mergeCell ref="H171:R171"/>
    <mergeCell ref="Q170:R170"/>
    <mergeCell ref="O169:P169"/>
    <mergeCell ref="O170:P170"/>
    <mergeCell ref="Q168:R168"/>
    <mergeCell ref="Q169:R169"/>
    <mergeCell ref="F373:AL374"/>
    <mergeCell ref="F662:AI663"/>
    <mergeCell ref="F672:AI673"/>
    <mergeCell ref="F687:AI688"/>
    <mergeCell ref="F343:AI344"/>
    <mergeCell ref="F359:AI360"/>
    <mergeCell ref="D378:AI378"/>
    <mergeCell ref="D387:AI387"/>
    <mergeCell ref="D397:AI397"/>
    <mergeCell ref="E428:AJ428"/>
    <mergeCell ref="E498:M498"/>
    <mergeCell ref="N498:V498"/>
    <mergeCell ref="E499:M499"/>
    <mergeCell ref="N499:V499"/>
    <mergeCell ref="AF505:AI505"/>
    <mergeCell ref="J504:K504"/>
    <mergeCell ref="J505:K505"/>
    <mergeCell ref="E505:I505"/>
    <mergeCell ref="E504:I504"/>
    <mergeCell ref="N492:V492"/>
    <mergeCell ref="N493:V493"/>
    <mergeCell ref="S506:W506"/>
    <mergeCell ref="X506:Y506"/>
    <mergeCell ref="Z506:AE506"/>
    <mergeCell ref="G235:O235"/>
    <mergeCell ref="P235:X235"/>
    <mergeCell ref="G213:O213"/>
    <mergeCell ref="P213:X213"/>
    <mergeCell ref="G221:AM222"/>
    <mergeCell ref="G216:AM217"/>
    <mergeCell ref="G214:O214"/>
    <mergeCell ref="P214:X214"/>
    <mergeCell ref="G211:O211"/>
    <mergeCell ref="P211:X211"/>
    <mergeCell ref="G233:O233"/>
    <mergeCell ref="P233:X233"/>
    <mergeCell ref="G234:O234"/>
    <mergeCell ref="P234:X234"/>
    <mergeCell ref="G265:O265"/>
    <mergeCell ref="G266:O266"/>
    <mergeCell ref="G264:O264"/>
    <mergeCell ref="E441:M441"/>
    <mergeCell ref="N441:V441"/>
    <mergeCell ref="E497:M497"/>
    <mergeCell ref="N497:V497"/>
    <mergeCell ref="E442:M442"/>
    <mergeCell ref="E443:M443"/>
    <mergeCell ref="N442:V442"/>
    <mergeCell ref="N443:V443"/>
    <mergeCell ref="O431:Z431"/>
    <mergeCell ref="O434:Z434"/>
    <mergeCell ref="O432:Z433"/>
    <mergeCell ref="E431:N431"/>
    <mergeCell ref="E432:N433"/>
    <mergeCell ref="E434:N434"/>
    <mergeCell ref="E465:Q465"/>
    <mergeCell ref="E466:Q466"/>
    <mergeCell ref="E467:Q467"/>
    <mergeCell ref="E462:AJ462"/>
    <mergeCell ref="E461:AI461"/>
    <mergeCell ref="E469:AI469"/>
    <mergeCell ref="E488:AI488"/>
    <mergeCell ref="AF511:AI511"/>
    <mergeCell ref="S512:AE512"/>
    <mergeCell ref="AF512:AI512"/>
    <mergeCell ref="AF506:AI506"/>
    <mergeCell ref="S507:W507"/>
    <mergeCell ref="X507:Y507"/>
    <mergeCell ref="Z507:AE507"/>
    <mergeCell ref="AF507:AI507"/>
    <mergeCell ref="S509:W509"/>
    <mergeCell ref="X509:Y509"/>
    <mergeCell ref="Z509:AE509"/>
    <mergeCell ref="AF509:AI509"/>
    <mergeCell ref="S510:W510"/>
    <mergeCell ref="X510:Y510"/>
    <mergeCell ref="Z510:AE510"/>
    <mergeCell ref="AF510:AI510"/>
    <mergeCell ref="S508:W508"/>
    <mergeCell ref="X508:Y508"/>
    <mergeCell ref="Z508:AE508"/>
    <mergeCell ref="AF508:AI508"/>
    <mergeCell ref="P119:S119"/>
    <mergeCell ref="H163:N163"/>
    <mergeCell ref="H164:N164"/>
    <mergeCell ref="H165:N165"/>
    <mergeCell ref="H166:N166"/>
    <mergeCell ref="H167:N167"/>
    <mergeCell ref="H168:N168"/>
    <mergeCell ref="H169:N169"/>
    <mergeCell ref="H170:N170"/>
    <mergeCell ref="O163:P163"/>
    <mergeCell ref="O164:P164"/>
    <mergeCell ref="O165:P165"/>
    <mergeCell ref="O166:P166"/>
    <mergeCell ref="O167:P167"/>
    <mergeCell ref="O168:P168"/>
    <mergeCell ref="S163:T163"/>
    <mergeCell ref="S164:T164"/>
    <mergeCell ref="S165:T165"/>
    <mergeCell ref="S166:T166"/>
    <mergeCell ref="Q163:R163"/>
    <mergeCell ref="Q164:R164"/>
    <mergeCell ref="Q165:R165"/>
    <mergeCell ref="Q166:R166"/>
    <mergeCell ref="Q167:R167"/>
    <mergeCell ref="F567:J567"/>
    <mergeCell ref="S567:V567"/>
    <mergeCell ref="F560:O560"/>
    <mergeCell ref="F561:O561"/>
    <mergeCell ref="P560:R560"/>
    <mergeCell ref="P561:R561"/>
    <mergeCell ref="F601:R601"/>
    <mergeCell ref="S601:V601"/>
    <mergeCell ref="F602:R602"/>
    <mergeCell ref="S602:V602"/>
    <mergeCell ref="F603:R603"/>
    <mergeCell ref="S603:V603"/>
    <mergeCell ref="F598:J598"/>
    <mergeCell ref="K598:N598"/>
    <mergeCell ref="O598:R598"/>
    <mergeCell ref="S598:V598"/>
    <mergeCell ref="F599:J599"/>
    <mergeCell ref="K599:N599"/>
    <mergeCell ref="O599:R599"/>
    <mergeCell ref="S599:V599"/>
    <mergeCell ref="I3:AL3"/>
    <mergeCell ref="D386:AJ386"/>
    <mergeCell ref="P120:S120"/>
    <mergeCell ref="P121:S121"/>
    <mergeCell ref="P122:S122"/>
    <mergeCell ref="H133:Q133"/>
    <mergeCell ref="E490:M490"/>
    <mergeCell ref="E491:M491"/>
    <mergeCell ref="E492:M492"/>
    <mergeCell ref="N490:V490"/>
    <mergeCell ref="N491:V491"/>
    <mergeCell ref="P123:S123"/>
    <mergeCell ref="H131:Q131"/>
    <mergeCell ref="H132:Q132"/>
    <mergeCell ref="H123:O123"/>
    <mergeCell ref="G289:AM290"/>
    <mergeCell ref="C7:AL7"/>
    <mergeCell ref="V4:AE4"/>
    <mergeCell ref="E464:Q464"/>
    <mergeCell ref="H5:AH5"/>
    <mergeCell ref="E430:N430"/>
    <mergeCell ref="O430:Z430"/>
    <mergeCell ref="E435:N435"/>
    <mergeCell ref="O435:Z435"/>
    <mergeCell ref="C13:AJ13"/>
    <mergeCell ref="C40:AJ40"/>
    <mergeCell ref="C47:AJ47"/>
    <mergeCell ref="C55:AJ55"/>
    <mergeCell ref="C61:AJ61"/>
    <mergeCell ref="C80:AJ80"/>
    <mergeCell ref="C102:AJ102"/>
    <mergeCell ref="H117:O117"/>
    <mergeCell ref="F562:O562"/>
    <mergeCell ref="P562:R562"/>
    <mergeCell ref="H118:O118"/>
    <mergeCell ref="E493:M493"/>
    <mergeCell ref="F559:O559"/>
    <mergeCell ref="P559:R559"/>
    <mergeCell ref="E436:N436"/>
    <mergeCell ref="O436:Z436"/>
    <mergeCell ref="E437:N437"/>
    <mergeCell ref="O437:Z437"/>
    <mergeCell ref="P117:S117"/>
    <mergeCell ref="H119:O119"/>
    <mergeCell ref="H120:O120"/>
    <mergeCell ref="H121:O121"/>
    <mergeCell ref="H122:O122"/>
    <mergeCell ref="P118:S118"/>
    <mergeCell ref="C106:AJ106"/>
    <mergeCell ref="H114:AI115"/>
    <mergeCell ref="H128:AI129"/>
    <mergeCell ref="H159:AI160"/>
    <mergeCell ref="H173:AI174"/>
    <mergeCell ref="G208:AI209"/>
    <mergeCell ref="G238:AI239"/>
    <mergeCell ref="F626:AI627"/>
    <mergeCell ref="F650:AI651"/>
    <mergeCell ref="H149:AI149"/>
    <mergeCell ref="E439:AJ439"/>
    <mergeCell ref="F600:J600"/>
    <mergeCell ref="K600:N600"/>
    <mergeCell ref="O600:R600"/>
    <mergeCell ref="S600:V600"/>
    <mergeCell ref="F596:J596"/>
    <mergeCell ref="K596:N596"/>
    <mergeCell ref="O596:R596"/>
    <mergeCell ref="S596:V596"/>
    <mergeCell ref="F597:J597"/>
    <mergeCell ref="K597:N597"/>
    <mergeCell ref="O597:R597"/>
    <mergeCell ref="S597:V597"/>
    <mergeCell ref="F573:R573"/>
    <mergeCell ref="L510:O510"/>
    <mergeCell ref="E495:AI495"/>
    <mergeCell ref="E501:AI501"/>
    <mergeCell ref="L504:O504"/>
    <mergeCell ref="L505:O505"/>
    <mergeCell ref="P504:Q504"/>
    <mergeCell ref="P505:Q505"/>
    <mergeCell ref="E503:Q503"/>
    <mergeCell ref="S503:AI503"/>
    <mergeCell ref="Z504:AE504"/>
    <mergeCell ref="AF504:AI504"/>
    <mergeCell ref="S505:W505"/>
    <mergeCell ref="X505:Y505"/>
    <mergeCell ref="Z505:AE505"/>
    <mergeCell ref="O570:R570"/>
    <mergeCell ref="P506:Q506"/>
    <mergeCell ref="P507:Q507"/>
    <mergeCell ref="P508:Q508"/>
    <mergeCell ref="P509:Q509"/>
    <mergeCell ref="P510:Q510"/>
    <mergeCell ref="P511:Q511"/>
    <mergeCell ref="P512:Q512"/>
    <mergeCell ref="E511:O511"/>
    <mergeCell ref="E512:O512"/>
    <mergeCell ref="E508:I508"/>
    <mergeCell ref="J506:K506"/>
    <mergeCell ref="J507:K507"/>
    <mergeCell ref="E506:I506"/>
    <mergeCell ref="E507:I507"/>
    <mergeCell ref="E509:I509"/>
    <mergeCell ref="E510:I510"/>
    <mergeCell ref="J508:K508"/>
    <mergeCell ref="J509:K509"/>
    <mergeCell ref="J510:K510"/>
    <mergeCell ref="L506:O506"/>
    <mergeCell ref="L507:O507"/>
    <mergeCell ref="L508:O508"/>
    <mergeCell ref="L509:O509"/>
    <mergeCell ref="F863:AK863"/>
    <mergeCell ref="F556:AI557"/>
    <mergeCell ref="E515:AI515"/>
    <mergeCell ref="E552:AI552"/>
    <mergeCell ref="F565:AI565"/>
    <mergeCell ref="AJ565:AL565"/>
    <mergeCell ref="F594:AI594"/>
    <mergeCell ref="AJ594:AL594"/>
    <mergeCell ref="F595:AI595"/>
    <mergeCell ref="AJ595:AL595"/>
    <mergeCell ref="S573:V573"/>
    <mergeCell ref="F568:J568"/>
    <mergeCell ref="F570:J570"/>
    <mergeCell ref="F571:R571"/>
    <mergeCell ref="S571:V571"/>
    <mergeCell ref="F572:R572"/>
    <mergeCell ref="S572:V572"/>
    <mergeCell ref="K567:N567"/>
    <mergeCell ref="O567:R567"/>
    <mergeCell ref="K568:N568"/>
    <mergeCell ref="O568:R568"/>
    <mergeCell ref="K569:N569"/>
    <mergeCell ref="O569:R569"/>
    <mergeCell ref="K570:N570"/>
    <mergeCell ref="F704:AK704"/>
    <mergeCell ref="D715:AI715"/>
    <mergeCell ref="D738:AI738"/>
    <mergeCell ref="E766:AJ766"/>
    <mergeCell ref="E781:AJ781"/>
    <mergeCell ref="E796:AJ796"/>
    <mergeCell ref="E808:AJ808"/>
    <mergeCell ref="F824:AK824"/>
    <mergeCell ref="F848:AK848"/>
  </mergeCells>
  <printOptions horizontalCentered="1" verticalCentered="1"/>
  <pageMargins left="0.23622047244094491" right="0.23622047244094491" top="0.74803149606299213" bottom="0.74803149606299213" header="0.31496062992125984" footer="0.31496062992125984"/>
  <pageSetup scale="29" fitToHeight="13" orientation="portrait" r:id="rId1"/>
  <rowBreaks count="9" manualBreakCount="9">
    <brk id="60" max="38" man="1"/>
    <brk id="125" max="38" man="1"/>
    <brk id="204" max="38" man="1"/>
    <brk id="287" max="38" man="1"/>
    <brk id="374" max="38" man="1"/>
    <brk id="483" max="38" man="1"/>
    <brk id="590" max="38" man="1"/>
    <brk id="708" max="38" man="1"/>
    <brk id="816" max="38"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tabColor theme="6" tint="0.39997558519241921"/>
  </sheetPr>
  <dimension ref="A1:AW206"/>
  <sheetViews>
    <sheetView showGridLines="0" zoomScaleNormal="100" workbookViewId="0"/>
  </sheetViews>
  <sheetFormatPr baseColWidth="10" defaultColWidth="25.7109375" defaultRowHeight="15" x14ac:dyDescent="0.25"/>
  <cols>
    <col min="1" max="1" width="10.5703125" style="364" customWidth="1"/>
    <col min="2" max="2" width="1.7109375" style="366" customWidth="1"/>
    <col min="3" max="3" width="2.42578125" style="366" customWidth="1"/>
    <col min="4" max="4" width="16.42578125" style="366" customWidth="1"/>
    <col min="5" max="5" width="25.7109375" style="366" customWidth="1"/>
    <col min="6" max="6" width="8.42578125" style="366" customWidth="1"/>
    <col min="7" max="7" width="23.28515625" style="366" customWidth="1"/>
    <col min="8" max="8" width="26.28515625" style="366" customWidth="1"/>
    <col min="9" max="9" width="12.28515625" style="366" customWidth="1"/>
    <col min="10" max="10" width="18.7109375" style="366" customWidth="1"/>
    <col min="11" max="11" width="26.140625" style="366" customWidth="1"/>
    <col min="12" max="12" width="14.140625" style="366" customWidth="1"/>
    <col min="13" max="13" width="4.5703125" style="366" customWidth="1"/>
    <col min="14" max="14" width="2.140625" style="366" customWidth="1"/>
    <col min="15" max="49" width="25.7109375" style="364"/>
    <col min="50" max="16384" width="25.7109375" style="366"/>
  </cols>
  <sheetData>
    <row r="1" spans="1:49" s="364" customFormat="1" x14ac:dyDescent="0.25"/>
    <row r="2" spans="1:49" s="364" customFormat="1" x14ac:dyDescent="0.25"/>
    <row r="3" spans="1:49" s="364" customFormat="1" ht="23.25" x14ac:dyDescent="0.25">
      <c r="D3" s="874" t="s">
        <v>432</v>
      </c>
      <c r="E3" s="874"/>
      <c r="F3" s="874"/>
      <c r="G3" s="874"/>
      <c r="H3" s="874"/>
      <c r="I3" s="874"/>
      <c r="J3" s="874"/>
      <c r="K3" s="874"/>
      <c r="L3" s="874"/>
      <c r="M3" s="874"/>
    </row>
    <row r="4" spans="1:49" s="364" customFormat="1" ht="15.75" x14ac:dyDescent="0.25">
      <c r="D4" s="875" t="s">
        <v>61</v>
      </c>
      <c r="E4" s="875"/>
      <c r="F4" s="875"/>
      <c r="G4" s="875"/>
      <c r="H4" s="875"/>
      <c r="I4" s="875"/>
      <c r="J4" s="875"/>
      <c r="K4" s="875"/>
      <c r="L4" s="875"/>
      <c r="M4" s="875"/>
    </row>
    <row r="5" spans="1:49" s="364" customFormat="1" ht="15.75" x14ac:dyDescent="0.25">
      <c r="D5" s="875" t="s">
        <v>218</v>
      </c>
      <c r="E5" s="875"/>
      <c r="F5" s="875"/>
      <c r="G5" s="875"/>
      <c r="H5" s="875"/>
      <c r="I5" s="875"/>
      <c r="J5" s="875"/>
      <c r="K5" s="875"/>
      <c r="L5" s="875"/>
      <c r="M5" s="875"/>
    </row>
    <row r="6" spans="1:49" s="364" customFormat="1" ht="15.75" thickBot="1" x14ac:dyDescent="0.3">
      <c r="D6" s="365"/>
      <c r="E6" s="365"/>
      <c r="F6" s="365"/>
      <c r="G6" s="365"/>
      <c r="H6" s="365"/>
      <c r="I6" s="365"/>
      <c r="J6" s="365"/>
      <c r="K6" s="365"/>
      <c r="L6" s="365"/>
      <c r="M6" s="365"/>
    </row>
    <row r="7" spans="1:49" ht="8.25" customHeight="1" x14ac:dyDescent="0.25">
      <c r="B7" s="880" t="s">
        <v>214</v>
      </c>
      <c r="C7" s="881"/>
      <c r="D7" s="881"/>
      <c r="E7" s="881"/>
      <c r="F7" s="881"/>
      <c r="G7" s="881"/>
      <c r="H7" s="881"/>
      <c r="I7" s="881"/>
      <c r="J7" s="881"/>
      <c r="K7" s="881"/>
      <c r="L7" s="881"/>
      <c r="M7" s="881"/>
      <c r="N7" s="882"/>
    </row>
    <row r="8" spans="1:49" ht="24" customHeight="1" x14ac:dyDescent="0.25">
      <c r="B8" s="883"/>
      <c r="C8" s="884"/>
      <c r="D8" s="884"/>
      <c r="E8" s="884"/>
      <c r="F8" s="884"/>
      <c r="G8" s="884"/>
      <c r="H8" s="884"/>
      <c r="I8" s="884"/>
      <c r="J8" s="884"/>
      <c r="K8" s="884"/>
      <c r="L8" s="884"/>
      <c r="M8" s="884"/>
      <c r="N8" s="885"/>
    </row>
    <row r="9" spans="1:49" x14ac:dyDescent="0.25">
      <c r="B9" s="367"/>
      <c r="C9" s="368"/>
      <c r="D9" s="368"/>
      <c r="E9" s="368"/>
      <c r="F9" s="368"/>
      <c r="G9" s="368"/>
      <c r="H9" s="368"/>
      <c r="I9" s="368"/>
      <c r="J9" s="368"/>
      <c r="K9" s="368"/>
      <c r="L9" s="368"/>
      <c r="M9" s="368"/>
      <c r="N9" s="369"/>
    </row>
    <row r="10" spans="1:49" ht="14.25" customHeight="1" x14ac:dyDescent="0.25">
      <c r="B10" s="367"/>
      <c r="C10" s="368"/>
      <c r="D10" s="370"/>
      <c r="E10" s="371"/>
      <c r="F10" s="371"/>
      <c r="G10" s="371"/>
      <c r="H10" s="371"/>
      <c r="I10" s="371"/>
      <c r="J10" s="371"/>
      <c r="K10" s="371"/>
      <c r="L10" s="371"/>
      <c r="M10" s="372"/>
      <c r="N10" s="369"/>
    </row>
    <row r="11" spans="1:49" ht="14.25" customHeight="1" x14ac:dyDescent="0.25">
      <c r="B11" s="367"/>
      <c r="C11" s="368"/>
      <c r="D11" s="373"/>
      <c r="E11" s="405" t="s">
        <v>0</v>
      </c>
      <c r="F11" s="322"/>
      <c r="G11" s="374" t="s">
        <v>10</v>
      </c>
      <c r="H11" s="368"/>
      <c r="I11" s="405" t="s">
        <v>62</v>
      </c>
      <c r="J11" s="406"/>
      <c r="K11" s="374" t="s">
        <v>683</v>
      </c>
      <c r="L11" s="368"/>
      <c r="M11" s="375"/>
      <c r="N11" s="369"/>
    </row>
    <row r="12" spans="1:49" ht="14.25" customHeight="1" x14ac:dyDescent="0.25">
      <c r="B12" s="367"/>
      <c r="C12" s="368"/>
      <c r="D12" s="373"/>
      <c r="E12" s="406"/>
      <c r="F12" s="322"/>
      <c r="G12" s="368"/>
      <c r="H12" s="368"/>
      <c r="I12" s="401"/>
      <c r="J12" s="401"/>
      <c r="K12" s="368"/>
      <c r="L12" s="368"/>
      <c r="M12" s="375"/>
      <c r="N12" s="369"/>
    </row>
    <row r="13" spans="1:49" ht="14.25" customHeight="1" x14ac:dyDescent="0.25">
      <c r="B13" s="367"/>
      <c r="C13" s="368"/>
      <c r="D13" s="373"/>
      <c r="E13" s="405" t="s">
        <v>60</v>
      </c>
      <c r="F13" s="322"/>
      <c r="G13" s="374"/>
      <c r="H13" s="368"/>
      <c r="I13" s="405" t="s">
        <v>513</v>
      </c>
      <c r="J13" s="406"/>
      <c r="K13" s="374"/>
      <c r="L13" s="368"/>
      <c r="M13" s="375"/>
      <c r="N13" s="369"/>
    </row>
    <row r="14" spans="1:49" s="382" customFormat="1" ht="14.25" customHeight="1" x14ac:dyDescent="0.25">
      <c r="A14" s="364"/>
      <c r="B14" s="376"/>
      <c r="C14" s="377"/>
      <c r="D14" s="378"/>
      <c r="E14" s="407"/>
      <c r="F14" s="379"/>
      <c r="G14" s="377"/>
      <c r="H14" s="377"/>
      <c r="I14" s="408"/>
      <c r="J14" s="408"/>
      <c r="K14" s="377"/>
      <c r="L14" s="377"/>
      <c r="M14" s="380"/>
      <c r="N14" s="381"/>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row>
    <row r="15" spans="1:49" ht="14.25" customHeight="1" x14ac:dyDescent="0.25">
      <c r="B15" s="367"/>
      <c r="C15" s="368"/>
      <c r="D15" s="373"/>
      <c r="E15" s="405" t="s">
        <v>79</v>
      </c>
      <c r="F15" s="322"/>
      <c r="G15" s="422">
        <v>42644</v>
      </c>
      <c r="H15" s="368"/>
      <c r="I15" s="406"/>
      <c r="J15" s="406"/>
      <c r="K15" s="322"/>
      <c r="L15" s="368"/>
      <c r="M15" s="375"/>
      <c r="N15" s="369"/>
    </row>
    <row r="16" spans="1:49" s="382" customFormat="1" ht="14.25" customHeight="1" x14ac:dyDescent="0.25">
      <c r="A16" s="364"/>
      <c r="B16" s="376"/>
      <c r="C16" s="377"/>
      <c r="D16" s="383"/>
      <c r="E16" s="384"/>
      <c r="F16" s="384"/>
      <c r="G16" s="384"/>
      <c r="H16" s="384"/>
      <c r="I16" s="384"/>
      <c r="J16" s="384"/>
      <c r="K16" s="384"/>
      <c r="L16" s="384"/>
      <c r="M16" s="385"/>
      <c r="N16" s="381"/>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row>
    <row r="17" spans="2:14" x14ac:dyDescent="0.25">
      <c r="B17" s="367"/>
      <c r="C17" s="368"/>
      <c r="D17" s="368"/>
      <c r="E17" s="368"/>
      <c r="F17" s="368"/>
      <c r="G17" s="368"/>
      <c r="H17" s="368"/>
      <c r="I17" s="368"/>
      <c r="J17" s="368"/>
      <c r="K17" s="368"/>
      <c r="L17" s="368"/>
      <c r="M17" s="368"/>
      <c r="N17" s="369"/>
    </row>
    <row r="18" spans="2:14" x14ac:dyDescent="0.25">
      <c r="B18" s="367"/>
      <c r="C18" s="368"/>
      <c r="D18" s="368"/>
      <c r="E18" s="368"/>
      <c r="F18" s="368"/>
      <c r="G18" s="368"/>
      <c r="H18" s="368"/>
      <c r="I18" s="368"/>
      <c r="J18" s="368"/>
      <c r="K18" s="368"/>
      <c r="L18" s="368"/>
      <c r="M18" s="368"/>
      <c r="N18" s="369"/>
    </row>
    <row r="19" spans="2:14" ht="15.75" x14ac:dyDescent="0.25">
      <c r="B19" s="367"/>
      <c r="C19" s="368"/>
      <c r="D19" s="877" t="s">
        <v>118</v>
      </c>
      <c r="E19" s="878"/>
      <c r="F19" s="878"/>
      <c r="G19" s="878"/>
      <c r="H19" s="878"/>
      <c r="I19" s="878"/>
      <c r="J19" s="878"/>
      <c r="K19" s="878"/>
      <c r="L19" s="878"/>
      <c r="M19" s="879"/>
      <c r="N19" s="369"/>
    </row>
    <row r="20" spans="2:14" x14ac:dyDescent="0.25">
      <c r="B20" s="367"/>
      <c r="C20" s="368"/>
      <c r="D20" s="373"/>
      <c r="E20" s="368"/>
      <c r="F20" s="368"/>
      <c r="G20" s="368"/>
      <c r="H20" s="368"/>
      <c r="I20" s="368"/>
      <c r="J20" s="368"/>
      <c r="K20" s="368"/>
      <c r="L20" s="368"/>
      <c r="M20" s="375"/>
      <c r="N20" s="369"/>
    </row>
    <row r="21" spans="2:14" ht="15.75" x14ac:dyDescent="0.25">
      <c r="B21" s="367"/>
      <c r="C21" s="368"/>
      <c r="D21" s="886" t="s">
        <v>216</v>
      </c>
      <c r="E21" s="887"/>
      <c r="F21" s="887"/>
      <c r="G21" s="887"/>
      <c r="H21" s="887"/>
      <c r="I21" s="887"/>
      <c r="J21" s="887"/>
      <c r="K21" s="887"/>
      <c r="L21" s="887"/>
      <c r="M21" s="888"/>
      <c r="N21" s="369"/>
    </row>
    <row r="22" spans="2:14" x14ac:dyDescent="0.25">
      <c r="B22" s="367"/>
      <c r="C22" s="368"/>
      <c r="D22" s="373"/>
      <c r="E22" s="368"/>
      <c r="F22" s="368"/>
      <c r="G22" s="368"/>
      <c r="H22" s="368"/>
      <c r="I22" s="368"/>
      <c r="J22" s="368"/>
      <c r="K22" s="368"/>
      <c r="L22" s="368"/>
      <c r="M22" s="375"/>
      <c r="N22" s="369"/>
    </row>
    <row r="23" spans="2:14" ht="39" customHeight="1" x14ac:dyDescent="0.25">
      <c r="B23" s="367"/>
      <c r="C23" s="368"/>
      <c r="D23" s="373"/>
      <c r="E23" s="889" t="s">
        <v>122</v>
      </c>
      <c r="F23" s="890"/>
      <c r="G23" s="386" t="s">
        <v>124</v>
      </c>
      <c r="H23" s="386" t="s">
        <v>119</v>
      </c>
      <c r="I23" s="893" t="s">
        <v>126</v>
      </c>
      <c r="J23" s="894"/>
      <c r="K23" s="386" t="s">
        <v>127</v>
      </c>
      <c r="L23" s="377"/>
      <c r="M23" s="375"/>
      <c r="N23" s="369"/>
    </row>
    <row r="24" spans="2:14" x14ac:dyDescent="0.25">
      <c r="B24" s="367"/>
      <c r="C24" s="368"/>
      <c r="D24" s="373"/>
      <c r="E24" s="891" t="s">
        <v>81</v>
      </c>
      <c r="F24" s="892"/>
      <c r="G24" s="400" t="s">
        <v>120</v>
      </c>
      <c r="H24" s="400" t="s">
        <v>125</v>
      </c>
      <c r="I24" s="891" t="s">
        <v>120</v>
      </c>
      <c r="J24" s="892"/>
      <c r="K24" s="400" t="s">
        <v>125</v>
      </c>
      <c r="L24" s="377"/>
      <c r="M24" s="375"/>
      <c r="N24" s="369"/>
    </row>
    <row r="25" spans="2:14" x14ac:dyDescent="0.25">
      <c r="B25" s="367"/>
      <c r="C25" s="368"/>
      <c r="D25" s="373"/>
      <c r="E25" s="891" t="s">
        <v>123</v>
      </c>
      <c r="F25" s="892"/>
      <c r="G25" s="400" t="s">
        <v>120</v>
      </c>
      <c r="H25" s="400" t="s">
        <v>120</v>
      </c>
      <c r="I25" s="891" t="s">
        <v>125</v>
      </c>
      <c r="J25" s="892"/>
      <c r="K25" s="400" t="s">
        <v>125</v>
      </c>
      <c r="L25" s="377"/>
      <c r="M25" s="375"/>
      <c r="N25" s="369"/>
    </row>
    <row r="26" spans="2:14" x14ac:dyDescent="0.25">
      <c r="B26" s="367"/>
      <c r="C26" s="368"/>
      <c r="D26" s="387"/>
      <c r="E26" s="388"/>
      <c r="F26" s="388"/>
      <c r="G26" s="388"/>
      <c r="H26" s="388"/>
      <c r="I26" s="388"/>
      <c r="J26" s="388"/>
      <c r="K26" s="388"/>
      <c r="L26" s="388"/>
      <c r="M26" s="389"/>
      <c r="N26" s="369"/>
    </row>
    <row r="27" spans="2:14" x14ac:dyDescent="0.25">
      <c r="B27" s="367"/>
      <c r="C27" s="368"/>
      <c r="D27" s="368"/>
      <c r="E27" s="368"/>
      <c r="F27" s="368"/>
      <c r="G27" s="368"/>
      <c r="H27" s="368"/>
      <c r="I27" s="368"/>
      <c r="J27" s="368"/>
      <c r="K27" s="368"/>
      <c r="L27" s="368"/>
      <c r="M27" s="368"/>
      <c r="N27" s="369"/>
    </row>
    <row r="28" spans="2:14" x14ac:dyDescent="0.25">
      <c r="B28" s="367"/>
      <c r="C28" s="368"/>
      <c r="D28" s="368"/>
      <c r="E28" s="368"/>
      <c r="F28" s="368"/>
      <c r="G28" s="368"/>
      <c r="H28" s="368"/>
      <c r="I28" s="368"/>
      <c r="J28" s="368"/>
      <c r="K28" s="368"/>
      <c r="L28" s="368"/>
      <c r="M28" s="368"/>
      <c r="N28" s="369"/>
    </row>
    <row r="29" spans="2:14" x14ac:dyDescent="0.25">
      <c r="B29" s="367"/>
      <c r="C29" s="368"/>
      <c r="D29" s="876" t="s">
        <v>215</v>
      </c>
      <c r="E29" s="876"/>
      <c r="F29" s="876"/>
      <c r="G29" s="876"/>
      <c r="H29" s="876"/>
      <c r="I29" s="876"/>
      <c r="J29" s="876"/>
      <c r="K29" s="876"/>
      <c r="L29" s="876"/>
      <c r="M29" s="876"/>
      <c r="N29" s="369"/>
    </row>
    <row r="30" spans="2:14" x14ac:dyDescent="0.25">
      <c r="B30" s="367"/>
      <c r="C30" s="368"/>
      <c r="D30" s="368"/>
      <c r="E30" s="368"/>
      <c r="F30" s="368"/>
      <c r="G30" s="368"/>
      <c r="H30" s="368"/>
      <c r="I30" s="390"/>
      <c r="J30" s="390"/>
      <c r="K30" s="390"/>
      <c r="L30" s="390"/>
      <c r="M30" s="368"/>
      <c r="N30" s="369"/>
    </row>
    <row r="31" spans="2:14" x14ac:dyDescent="0.25">
      <c r="B31" s="367"/>
      <c r="C31" s="368"/>
      <c r="D31" s="873" t="s">
        <v>501</v>
      </c>
      <c r="E31" s="873"/>
      <c r="F31" s="873"/>
      <c r="G31" s="873"/>
      <c r="H31" s="873"/>
      <c r="I31" s="873"/>
      <c r="J31" s="873"/>
      <c r="K31" s="873"/>
      <c r="L31" s="873"/>
      <c r="M31" s="873"/>
      <c r="N31" s="369"/>
    </row>
    <row r="32" spans="2:14" ht="33" customHeight="1" x14ac:dyDescent="0.25">
      <c r="B32" s="367"/>
      <c r="C32" s="368"/>
      <c r="D32" s="368"/>
      <c r="E32" s="390"/>
      <c r="F32" s="390"/>
      <c r="G32" s="325"/>
      <c r="H32" s="368"/>
      <c r="I32" s="368"/>
      <c r="J32" s="368"/>
      <c r="K32" s="368"/>
      <c r="L32" s="368"/>
      <c r="M32" s="368"/>
      <c r="N32" s="369"/>
    </row>
    <row r="33" spans="2:14" ht="7.5" customHeight="1" x14ac:dyDescent="0.25">
      <c r="B33" s="367"/>
      <c r="C33" s="368"/>
      <c r="D33" s="391"/>
      <c r="E33" s="391"/>
      <c r="F33" s="391"/>
      <c r="G33" s="391"/>
      <c r="H33" s="368"/>
      <c r="I33" s="368"/>
      <c r="J33" s="368"/>
      <c r="K33" s="368"/>
      <c r="L33" s="368"/>
      <c r="M33" s="368"/>
      <c r="N33" s="369"/>
    </row>
    <row r="34" spans="2:14" ht="59.45" customHeight="1" x14ac:dyDescent="0.25">
      <c r="B34" s="367"/>
      <c r="C34" s="368"/>
      <c r="D34" s="401"/>
      <c r="E34" s="368"/>
      <c r="F34" s="368"/>
      <c r="G34" s="402" t="s">
        <v>725</v>
      </c>
      <c r="H34" s="392"/>
      <c r="I34" s="368"/>
      <c r="J34" s="402" t="s">
        <v>447</v>
      </c>
      <c r="K34" s="374"/>
      <c r="L34" s="368"/>
      <c r="M34" s="368"/>
      <c r="N34" s="369"/>
    </row>
    <row r="35" spans="2:14" ht="44.25" customHeight="1" x14ac:dyDescent="0.25">
      <c r="B35" s="367"/>
      <c r="C35" s="368"/>
      <c r="D35" s="401"/>
      <c r="E35" s="368"/>
      <c r="F35" s="368"/>
      <c r="G35" s="402" t="s">
        <v>444</v>
      </c>
      <c r="H35" s="393"/>
      <c r="I35" s="368"/>
      <c r="J35" s="402" t="s">
        <v>448</v>
      </c>
      <c r="K35" s="394"/>
      <c r="L35" s="368"/>
      <c r="M35" s="368"/>
      <c r="N35" s="369"/>
    </row>
    <row r="36" spans="2:14" ht="44.25" customHeight="1" x14ac:dyDescent="0.25">
      <c r="B36" s="367"/>
      <c r="C36" s="368"/>
      <c r="D36" s="402" t="s">
        <v>443</v>
      </c>
      <c r="E36" s="392"/>
      <c r="F36" s="368"/>
      <c r="G36" s="402" t="s">
        <v>445</v>
      </c>
      <c r="H36" s="393"/>
      <c r="I36" s="368"/>
      <c r="J36" s="402" t="s">
        <v>445</v>
      </c>
      <c r="K36" s="394"/>
      <c r="L36" s="368"/>
      <c r="M36" s="368"/>
      <c r="N36" s="369"/>
    </row>
    <row r="37" spans="2:14" ht="44.25" customHeight="1" x14ac:dyDescent="0.25">
      <c r="B37" s="367"/>
      <c r="C37" s="368"/>
      <c r="D37" s="368"/>
      <c r="E37" s="368"/>
      <c r="F37" s="368"/>
      <c r="G37" s="402" t="s">
        <v>446</v>
      </c>
      <c r="H37" s="393"/>
      <c r="I37" s="368"/>
      <c r="J37" s="402" t="s">
        <v>449</v>
      </c>
      <c r="K37" s="394"/>
      <c r="L37" s="368"/>
      <c r="M37" s="368"/>
      <c r="N37" s="369"/>
    </row>
    <row r="38" spans="2:14" ht="44.25" customHeight="1" x14ac:dyDescent="0.25">
      <c r="B38" s="367"/>
      <c r="C38" s="368"/>
      <c r="D38" s="368"/>
      <c r="E38" s="368"/>
      <c r="F38" s="368"/>
      <c r="G38" s="368"/>
      <c r="H38" s="368"/>
      <c r="I38" s="368"/>
      <c r="J38" s="402" t="s">
        <v>450</v>
      </c>
      <c r="K38" s="392"/>
      <c r="L38" s="368"/>
      <c r="M38" s="368"/>
      <c r="N38" s="369"/>
    </row>
    <row r="39" spans="2:14" ht="29.25" customHeight="1" x14ac:dyDescent="0.25">
      <c r="B39" s="367"/>
      <c r="C39" s="368"/>
      <c r="D39" s="368"/>
      <c r="E39" s="368"/>
      <c r="F39" s="368"/>
      <c r="G39" s="368"/>
      <c r="H39" s="368"/>
      <c r="I39" s="368"/>
      <c r="J39" s="368"/>
      <c r="K39" s="368"/>
      <c r="L39" s="368"/>
      <c r="M39" s="368"/>
      <c r="N39" s="369"/>
    </row>
    <row r="40" spans="2:14" ht="29.25" customHeight="1" x14ac:dyDescent="0.25">
      <c r="B40" s="367"/>
      <c r="C40" s="368"/>
      <c r="D40" s="887" t="s">
        <v>522</v>
      </c>
      <c r="E40" s="887"/>
      <c r="F40" s="887"/>
      <c r="G40" s="887"/>
      <c r="H40" s="887"/>
      <c r="I40" s="887"/>
      <c r="J40" s="887"/>
      <c r="K40" s="887"/>
      <c r="L40" s="887"/>
      <c r="M40" s="368"/>
      <c r="N40" s="369"/>
    </row>
    <row r="41" spans="2:14" ht="29.25" customHeight="1" x14ac:dyDescent="0.25">
      <c r="B41" s="367"/>
      <c r="C41" s="368"/>
      <c r="D41" s="368"/>
      <c r="E41" s="395" t="s">
        <v>73</v>
      </c>
      <c r="F41" s="900" t="s">
        <v>76</v>
      </c>
      <c r="G41" s="900"/>
      <c r="H41" s="900"/>
      <c r="I41" s="900" t="s">
        <v>77</v>
      </c>
      <c r="J41" s="900"/>
      <c r="K41" s="900"/>
      <c r="L41" s="368"/>
      <c r="M41" s="368"/>
      <c r="N41" s="369"/>
    </row>
    <row r="42" spans="2:14" ht="78.75" customHeight="1" x14ac:dyDescent="0.25">
      <c r="B42" s="367"/>
      <c r="C42" s="368"/>
      <c r="D42" s="368"/>
      <c r="E42" s="395"/>
      <c r="F42" s="901" t="s">
        <v>687</v>
      </c>
      <c r="G42" s="901"/>
      <c r="H42" s="396" t="s">
        <v>75</v>
      </c>
      <c r="I42" s="900" t="s">
        <v>74</v>
      </c>
      <c r="J42" s="900"/>
      <c r="K42" s="395" t="s">
        <v>75</v>
      </c>
      <c r="L42" s="368"/>
      <c r="M42" s="368"/>
      <c r="N42" s="369"/>
    </row>
    <row r="43" spans="2:14" ht="19.5" customHeight="1" x14ac:dyDescent="0.25">
      <c r="B43" s="367"/>
      <c r="C43" s="368"/>
      <c r="D43" s="368"/>
      <c r="E43" s="404" t="s">
        <v>3</v>
      </c>
      <c r="F43" s="896">
        <v>0.16</v>
      </c>
      <c r="G43" s="897"/>
      <c r="H43" s="374"/>
      <c r="I43" s="895" t="str">
        <f>+IFERROR(VLOOKUP(G11,Referencias!A8:N50,4,0),"")</f>
        <v/>
      </c>
      <c r="J43" s="895"/>
      <c r="K43" s="403">
        <f>+Referencias!S7</f>
        <v>7.5999999999999998E-2</v>
      </c>
      <c r="L43" s="368"/>
      <c r="M43" s="368"/>
      <c r="N43" s="369"/>
    </row>
    <row r="44" spans="2:14" ht="19.5" customHeight="1" x14ac:dyDescent="0.25">
      <c r="B44" s="367"/>
      <c r="C44" s="368"/>
      <c r="D44" s="368"/>
      <c r="E44" s="404" t="s">
        <v>4</v>
      </c>
      <c r="F44" s="896">
        <v>0.56000000000000005</v>
      </c>
      <c r="G44" s="897"/>
      <c r="H44" s="374"/>
      <c r="I44" s="895" t="str">
        <f>+IFERROR(VLOOKUP(G11,Referencias!A8:N50,5,0),"")</f>
        <v/>
      </c>
      <c r="J44" s="895"/>
      <c r="K44" s="403">
        <f>+Referencias!S8</f>
        <v>5.5E-2</v>
      </c>
      <c r="L44" s="368"/>
      <c r="M44" s="368"/>
      <c r="N44" s="369"/>
    </row>
    <row r="45" spans="2:14" ht="19.5" customHeight="1" x14ac:dyDescent="0.25">
      <c r="B45" s="367"/>
      <c r="C45" s="368"/>
      <c r="D45" s="368"/>
      <c r="E45" s="404" t="s">
        <v>6</v>
      </c>
      <c r="F45" s="896">
        <v>0.11</v>
      </c>
      <c r="G45" s="897"/>
      <c r="H45" s="374"/>
      <c r="I45" s="895" t="str">
        <f>+IFERROR(VLOOKUP(G11,Referencias!A8:N50,6,0),"")</f>
        <v/>
      </c>
      <c r="J45" s="895"/>
      <c r="K45" s="403">
        <f>+Referencias!S9</f>
        <v>0.25</v>
      </c>
      <c r="L45" s="368"/>
      <c r="M45" s="368"/>
      <c r="N45" s="369"/>
    </row>
    <row r="46" spans="2:14" ht="19.5" customHeight="1" x14ac:dyDescent="0.25">
      <c r="B46" s="367"/>
      <c r="C46" s="368"/>
      <c r="D46" s="368"/>
      <c r="E46" s="404" t="s">
        <v>5</v>
      </c>
      <c r="F46" s="896">
        <v>0.1</v>
      </c>
      <c r="G46" s="897"/>
      <c r="H46" s="374"/>
      <c r="I46" s="895" t="str">
        <f>+IFERROR(VLOOKUP(G11,Referencias!A8:N50,7,0),"")</f>
        <v/>
      </c>
      <c r="J46" s="895"/>
      <c r="K46" s="403">
        <f>+Referencias!S10</f>
        <v>4.2999999999999997E-2</v>
      </c>
      <c r="L46" s="368"/>
      <c r="M46" s="368"/>
      <c r="N46" s="369"/>
    </row>
    <row r="47" spans="2:14" ht="19.5" customHeight="1" x14ac:dyDescent="0.25">
      <c r="B47" s="367"/>
      <c r="C47" s="368"/>
      <c r="D47" s="368"/>
      <c r="E47" s="404" t="s">
        <v>7</v>
      </c>
      <c r="F47" s="896">
        <v>0.05</v>
      </c>
      <c r="G47" s="897"/>
      <c r="H47" s="374"/>
      <c r="I47" s="895" t="str">
        <f>+IFERROR(VLOOKUP(G11,Referencias!A8:N50,8,0),"")</f>
        <v/>
      </c>
      <c r="J47" s="895"/>
      <c r="K47" s="403">
        <f>+Referencias!S11</f>
        <v>0.1295</v>
      </c>
      <c r="L47" s="368"/>
      <c r="M47" s="368"/>
      <c r="N47" s="369"/>
    </row>
    <row r="48" spans="2:14" ht="19.5" customHeight="1" x14ac:dyDescent="0.25">
      <c r="B48" s="367"/>
      <c r="C48" s="368"/>
      <c r="D48" s="368"/>
      <c r="E48" s="404" t="s">
        <v>72</v>
      </c>
      <c r="F48" s="896">
        <v>0.02</v>
      </c>
      <c r="G48" s="897"/>
      <c r="H48" s="374"/>
      <c r="I48" s="895" t="str">
        <f>+IFERROR(VLOOKUP(G11,Referencias!A8:N50,9,0),"")</f>
        <v/>
      </c>
      <c r="J48" s="895"/>
      <c r="K48" s="403">
        <f>+Referencias!S12</f>
        <v>0.105</v>
      </c>
      <c r="L48" s="368"/>
      <c r="M48" s="368"/>
      <c r="N48" s="369"/>
    </row>
    <row r="49" spans="2:14" ht="19.5" customHeight="1" x14ac:dyDescent="0.25">
      <c r="B49" s="367"/>
      <c r="C49" s="368"/>
      <c r="D49" s="368"/>
      <c r="E49" s="404" t="s">
        <v>9</v>
      </c>
      <c r="F49" s="898">
        <f>+SUM(F43:G48)</f>
        <v>1</v>
      </c>
      <c r="G49" s="899"/>
      <c r="H49" s="374"/>
      <c r="I49" s="895">
        <f>+SUM(I43:J48)</f>
        <v>0</v>
      </c>
      <c r="J49" s="895"/>
      <c r="K49" s="403">
        <f>+Referencias!S13</f>
        <v>9.6107142857142863E-2</v>
      </c>
      <c r="L49" s="368"/>
      <c r="M49" s="368"/>
      <c r="N49" s="369"/>
    </row>
    <row r="50" spans="2:14" x14ac:dyDescent="0.25">
      <c r="B50" s="367"/>
      <c r="C50" s="368"/>
      <c r="D50" s="368"/>
      <c r="E50" s="368"/>
      <c r="F50" s="368"/>
      <c r="G50" s="368"/>
      <c r="H50" s="368"/>
      <c r="I50" s="368"/>
      <c r="J50" s="368"/>
      <c r="K50" s="368"/>
      <c r="L50" s="368"/>
      <c r="M50" s="368"/>
      <c r="N50" s="369"/>
    </row>
    <row r="51" spans="2:14" ht="12" customHeight="1" x14ac:dyDescent="0.25">
      <c r="B51" s="367"/>
      <c r="C51" s="368"/>
      <c r="D51" s="368"/>
      <c r="E51" s="368"/>
      <c r="F51" s="368"/>
      <c r="G51" s="368"/>
      <c r="H51" s="368"/>
      <c r="I51" s="368"/>
      <c r="J51" s="368"/>
      <c r="K51" s="368"/>
      <c r="L51" s="368"/>
      <c r="M51" s="368"/>
      <c r="N51" s="369"/>
    </row>
    <row r="52" spans="2:14" ht="12" customHeight="1" x14ac:dyDescent="0.25">
      <c r="B52" s="367"/>
      <c r="C52" s="368"/>
      <c r="D52" s="368"/>
      <c r="E52" s="368"/>
      <c r="F52" s="368"/>
      <c r="G52" s="368"/>
      <c r="H52" s="368"/>
      <c r="I52" s="368"/>
      <c r="J52" s="368"/>
      <c r="K52" s="368"/>
      <c r="L52" s="368"/>
      <c r="M52" s="368"/>
      <c r="N52" s="369"/>
    </row>
    <row r="53" spans="2:14" ht="12" customHeight="1" x14ac:dyDescent="0.25">
      <c r="B53" s="367"/>
      <c r="C53" s="368"/>
      <c r="D53" s="368"/>
      <c r="E53" s="368"/>
      <c r="F53" s="368"/>
      <c r="G53" s="368"/>
      <c r="H53" s="368"/>
      <c r="I53" s="368"/>
      <c r="J53" s="368"/>
      <c r="K53" s="368"/>
      <c r="L53" s="368"/>
      <c r="M53" s="368"/>
      <c r="N53" s="369"/>
    </row>
    <row r="54" spans="2:14" ht="15.75" thickBot="1" x14ac:dyDescent="0.3">
      <c r="B54" s="397"/>
      <c r="C54" s="398"/>
      <c r="D54" s="398"/>
      <c r="E54" s="398"/>
      <c r="F54" s="398"/>
      <c r="G54" s="398"/>
      <c r="H54" s="398"/>
      <c r="I54" s="398"/>
      <c r="J54" s="398"/>
      <c r="K54" s="398"/>
      <c r="L54" s="398"/>
      <c r="M54" s="398"/>
      <c r="N54" s="399"/>
    </row>
    <row r="55" spans="2:14" s="364" customFormat="1" x14ac:dyDescent="0.25"/>
    <row r="56" spans="2:14" s="364" customFormat="1" x14ac:dyDescent="0.25"/>
    <row r="57" spans="2:14" s="364" customFormat="1" x14ac:dyDescent="0.25"/>
    <row r="58" spans="2:14" s="364" customFormat="1" x14ac:dyDescent="0.25"/>
    <row r="59" spans="2:14" s="364" customFormat="1" x14ac:dyDescent="0.25"/>
    <row r="60" spans="2:14" s="364" customFormat="1" x14ac:dyDescent="0.25"/>
    <row r="61" spans="2:14" s="364" customFormat="1" x14ac:dyDescent="0.25"/>
    <row r="62" spans="2:14" s="364" customFormat="1" x14ac:dyDescent="0.25"/>
    <row r="63" spans="2:14" s="364" customFormat="1" x14ac:dyDescent="0.25"/>
    <row r="64" spans="2:14" s="364" customFormat="1" x14ac:dyDescent="0.25"/>
    <row r="65" s="364" customFormat="1" x14ac:dyDescent="0.25"/>
    <row r="66" s="364" customFormat="1" x14ac:dyDescent="0.25"/>
    <row r="67" s="364" customFormat="1" x14ac:dyDescent="0.25"/>
    <row r="68" s="364" customFormat="1" x14ac:dyDescent="0.25"/>
    <row r="69" s="364" customFormat="1" x14ac:dyDescent="0.25"/>
    <row r="70" s="364" customFormat="1" x14ac:dyDescent="0.25"/>
    <row r="71" s="364" customFormat="1" x14ac:dyDescent="0.25"/>
    <row r="72" s="364" customFormat="1" x14ac:dyDescent="0.25"/>
    <row r="73" s="364" customFormat="1" x14ac:dyDescent="0.25"/>
    <row r="74" s="364" customFormat="1" x14ac:dyDescent="0.25"/>
    <row r="75" s="364" customFormat="1" x14ac:dyDescent="0.25"/>
    <row r="76" s="364" customFormat="1" x14ac:dyDescent="0.25"/>
    <row r="77" s="364" customFormat="1" x14ac:dyDescent="0.25"/>
    <row r="78" s="364" customFormat="1" x14ac:dyDescent="0.25"/>
    <row r="79" s="364" customFormat="1" x14ac:dyDescent="0.25"/>
    <row r="80" s="364" customFormat="1" x14ac:dyDescent="0.25"/>
    <row r="81" s="364" customFormat="1" x14ac:dyDescent="0.25"/>
    <row r="82" s="364" customFormat="1" x14ac:dyDescent="0.25"/>
    <row r="83" s="364" customFormat="1" x14ac:dyDescent="0.25"/>
    <row r="84" s="364" customFormat="1" x14ac:dyDescent="0.25"/>
    <row r="85" s="364" customFormat="1" x14ac:dyDescent="0.25"/>
    <row r="86" s="364" customFormat="1" x14ac:dyDescent="0.25"/>
    <row r="87" s="364" customFormat="1" x14ac:dyDescent="0.25"/>
    <row r="88" s="364" customFormat="1" x14ac:dyDescent="0.25"/>
    <row r="89" s="364" customFormat="1" x14ac:dyDescent="0.25"/>
    <row r="90" s="364" customFormat="1" x14ac:dyDescent="0.25"/>
    <row r="91" s="364" customFormat="1" x14ac:dyDescent="0.25"/>
    <row r="92" s="364" customFormat="1" x14ac:dyDescent="0.25"/>
    <row r="93" s="364" customFormat="1" x14ac:dyDescent="0.25"/>
    <row r="94" s="364" customFormat="1" x14ac:dyDescent="0.25"/>
    <row r="95" s="364" customFormat="1" x14ac:dyDescent="0.25"/>
    <row r="96" s="364" customFormat="1" x14ac:dyDescent="0.25"/>
    <row r="97" s="364" customFormat="1" x14ac:dyDescent="0.25"/>
    <row r="98" s="364" customFormat="1" x14ac:dyDescent="0.25"/>
    <row r="99" s="364" customFormat="1" x14ac:dyDescent="0.25"/>
    <row r="100" s="364" customFormat="1" x14ac:dyDescent="0.25"/>
    <row r="101" s="364" customFormat="1" x14ac:dyDescent="0.25"/>
    <row r="102" s="364" customFormat="1" x14ac:dyDescent="0.25"/>
    <row r="103" s="364" customFormat="1" x14ac:dyDescent="0.25"/>
    <row r="104" s="364" customFormat="1" x14ac:dyDescent="0.25"/>
    <row r="105" s="364" customFormat="1" x14ac:dyDescent="0.25"/>
    <row r="106" s="364" customFormat="1" x14ac:dyDescent="0.25"/>
    <row r="107" s="364" customFormat="1" x14ac:dyDescent="0.25"/>
    <row r="108" s="364" customFormat="1" x14ac:dyDescent="0.25"/>
    <row r="109" s="364" customFormat="1" x14ac:dyDescent="0.25"/>
    <row r="110" s="364" customFormat="1" x14ac:dyDescent="0.25"/>
    <row r="111" s="364" customFormat="1" x14ac:dyDescent="0.25"/>
    <row r="112" s="364" customFormat="1" x14ac:dyDescent="0.25"/>
    <row r="113" s="364" customFormat="1" x14ac:dyDescent="0.25"/>
    <row r="114" s="364" customFormat="1" x14ac:dyDescent="0.25"/>
    <row r="115" s="364" customFormat="1" x14ac:dyDescent="0.25"/>
    <row r="116" s="364" customFormat="1" x14ac:dyDescent="0.25"/>
    <row r="117" s="364" customFormat="1" x14ac:dyDescent="0.25"/>
    <row r="118" s="364" customFormat="1" x14ac:dyDescent="0.25"/>
    <row r="119" s="364" customFormat="1" x14ac:dyDescent="0.25"/>
    <row r="120" s="364" customFormat="1" x14ac:dyDescent="0.25"/>
    <row r="121" s="364" customFormat="1" x14ac:dyDescent="0.25"/>
    <row r="122" s="364" customFormat="1" x14ac:dyDescent="0.25"/>
    <row r="123" s="364" customFormat="1" x14ac:dyDescent="0.25"/>
    <row r="124" s="364" customFormat="1" x14ac:dyDescent="0.25"/>
    <row r="125" s="364" customFormat="1" x14ac:dyDescent="0.25"/>
    <row r="126" s="364" customFormat="1" x14ac:dyDescent="0.25"/>
    <row r="127" s="364" customFormat="1" x14ac:dyDescent="0.25"/>
    <row r="128" s="364" customFormat="1" x14ac:dyDescent="0.25"/>
    <row r="129" s="364" customFormat="1" x14ac:dyDescent="0.25"/>
    <row r="130" s="364" customFormat="1" x14ac:dyDescent="0.25"/>
    <row r="131" s="364" customFormat="1" x14ac:dyDescent="0.25"/>
    <row r="132" s="364" customFormat="1" x14ac:dyDescent="0.25"/>
    <row r="133" s="364" customFormat="1" x14ac:dyDescent="0.25"/>
    <row r="134" s="364" customFormat="1" x14ac:dyDescent="0.25"/>
    <row r="135" s="364" customFormat="1" x14ac:dyDescent="0.25"/>
    <row r="136" s="364" customFormat="1" x14ac:dyDescent="0.25"/>
    <row r="137" s="364" customFormat="1" x14ac:dyDescent="0.25"/>
    <row r="138" s="364" customFormat="1" x14ac:dyDescent="0.25"/>
    <row r="139" s="364" customFormat="1" x14ac:dyDescent="0.25"/>
    <row r="140" s="364" customFormat="1" x14ac:dyDescent="0.25"/>
    <row r="141" s="364" customFormat="1" x14ac:dyDescent="0.25"/>
    <row r="142" s="364" customFormat="1" x14ac:dyDescent="0.25"/>
    <row r="143" s="364" customFormat="1" x14ac:dyDescent="0.25"/>
    <row r="144" s="364" customFormat="1" x14ac:dyDescent="0.25"/>
    <row r="145" s="364" customFormat="1" x14ac:dyDescent="0.25"/>
    <row r="146" s="364" customFormat="1" x14ac:dyDescent="0.25"/>
    <row r="147" s="364" customFormat="1" x14ac:dyDescent="0.25"/>
    <row r="148" s="364" customFormat="1" x14ac:dyDescent="0.25"/>
    <row r="149" s="364" customFormat="1" x14ac:dyDescent="0.25"/>
    <row r="150" s="364" customFormat="1" x14ac:dyDescent="0.25"/>
    <row r="151" s="364" customFormat="1" x14ac:dyDescent="0.25"/>
    <row r="152" s="364" customFormat="1" x14ac:dyDescent="0.25"/>
    <row r="153" s="364" customFormat="1" x14ac:dyDescent="0.25"/>
    <row r="154" s="364" customFormat="1" x14ac:dyDescent="0.25"/>
    <row r="155" s="364" customFormat="1" x14ac:dyDescent="0.25"/>
    <row r="156" s="364" customFormat="1" x14ac:dyDescent="0.25"/>
    <row r="157" s="364" customFormat="1" x14ac:dyDescent="0.25"/>
    <row r="158" s="364" customFormat="1" x14ac:dyDescent="0.25"/>
    <row r="159" s="364" customFormat="1" x14ac:dyDescent="0.25"/>
    <row r="160" s="364" customFormat="1" x14ac:dyDescent="0.25"/>
    <row r="161" s="364" customFormat="1" x14ac:dyDescent="0.25"/>
    <row r="162" s="364" customFormat="1" x14ac:dyDescent="0.25"/>
    <row r="163" s="364" customFormat="1" x14ac:dyDescent="0.25"/>
    <row r="164" s="364" customFormat="1" x14ac:dyDescent="0.25"/>
    <row r="165" s="364" customFormat="1" x14ac:dyDescent="0.25"/>
    <row r="166" s="364" customFormat="1" x14ac:dyDescent="0.25"/>
    <row r="167" s="364" customFormat="1" x14ac:dyDescent="0.25"/>
    <row r="168" s="364" customFormat="1" x14ac:dyDescent="0.25"/>
    <row r="169" s="364" customFormat="1" x14ac:dyDescent="0.25"/>
    <row r="170" s="364" customFormat="1" x14ac:dyDescent="0.25"/>
    <row r="171" s="364" customFormat="1" x14ac:dyDescent="0.25"/>
    <row r="172" s="364" customFormat="1" x14ac:dyDescent="0.25"/>
    <row r="173" s="364" customFormat="1" x14ac:dyDescent="0.25"/>
    <row r="174" s="364" customFormat="1" x14ac:dyDescent="0.25"/>
    <row r="175" s="364" customFormat="1" x14ac:dyDescent="0.25"/>
    <row r="176" s="364" customFormat="1" x14ac:dyDescent="0.25"/>
    <row r="177" s="364" customFormat="1" x14ac:dyDescent="0.25"/>
    <row r="178" s="364" customFormat="1" x14ac:dyDescent="0.25"/>
    <row r="179" s="364" customFormat="1" x14ac:dyDescent="0.25"/>
    <row r="180" s="364" customFormat="1" x14ac:dyDescent="0.25"/>
    <row r="181" s="364" customFormat="1" x14ac:dyDescent="0.25"/>
    <row r="182" s="364" customFormat="1" x14ac:dyDescent="0.25"/>
    <row r="183" s="364" customFormat="1" x14ac:dyDescent="0.25"/>
    <row r="184" s="364" customFormat="1" x14ac:dyDescent="0.25"/>
    <row r="185" s="364" customFormat="1" x14ac:dyDescent="0.25"/>
    <row r="186" s="364" customFormat="1" x14ac:dyDescent="0.25"/>
    <row r="187" s="364" customFormat="1" x14ac:dyDescent="0.25"/>
    <row r="188" s="364" customFormat="1" x14ac:dyDescent="0.25"/>
    <row r="189" s="364" customFormat="1" x14ac:dyDescent="0.25"/>
    <row r="190" s="364" customFormat="1" x14ac:dyDescent="0.25"/>
    <row r="191" s="364" customFormat="1" x14ac:dyDescent="0.25"/>
    <row r="192" s="364" customFormat="1" x14ac:dyDescent="0.25"/>
    <row r="193" s="364" customFormat="1" x14ac:dyDescent="0.25"/>
    <row r="194" s="364" customFormat="1" x14ac:dyDescent="0.25"/>
    <row r="195" s="364" customFormat="1" x14ac:dyDescent="0.25"/>
    <row r="196" s="364" customFormat="1" x14ac:dyDescent="0.25"/>
    <row r="197" s="364" customFormat="1" x14ac:dyDescent="0.25"/>
    <row r="198" s="364" customFormat="1" x14ac:dyDescent="0.25"/>
    <row r="199" s="364" customFormat="1" x14ac:dyDescent="0.25"/>
    <row r="200" s="364" customFormat="1" x14ac:dyDescent="0.25"/>
    <row r="201" s="364" customFormat="1" x14ac:dyDescent="0.25"/>
    <row r="202" s="364" customFormat="1" x14ac:dyDescent="0.25"/>
    <row r="203" s="364" customFormat="1" x14ac:dyDescent="0.25"/>
    <row r="204" s="364" customFormat="1" x14ac:dyDescent="0.25"/>
    <row r="205" s="364" customFormat="1" x14ac:dyDescent="0.25"/>
    <row r="206" s="364" customFormat="1" x14ac:dyDescent="0.25"/>
  </sheetData>
  <sheetProtection selectLockedCells="1"/>
  <mergeCells count="33">
    <mergeCell ref="D40:L40"/>
    <mergeCell ref="I42:J42"/>
    <mergeCell ref="I43:J43"/>
    <mergeCell ref="I44:J44"/>
    <mergeCell ref="I45:J45"/>
    <mergeCell ref="F43:G43"/>
    <mergeCell ref="F44:G44"/>
    <mergeCell ref="F45:G45"/>
    <mergeCell ref="F41:H41"/>
    <mergeCell ref="I41:K41"/>
    <mergeCell ref="F42:G42"/>
    <mergeCell ref="I46:J46"/>
    <mergeCell ref="F46:G46"/>
    <mergeCell ref="F47:G47"/>
    <mergeCell ref="F48:G48"/>
    <mergeCell ref="F49:G49"/>
    <mergeCell ref="I49:J49"/>
    <mergeCell ref="I48:J48"/>
    <mergeCell ref="I47:J47"/>
    <mergeCell ref="D31:M31"/>
    <mergeCell ref="D3:M3"/>
    <mergeCell ref="D4:M4"/>
    <mergeCell ref="D29:M29"/>
    <mergeCell ref="D19:M19"/>
    <mergeCell ref="B7:N8"/>
    <mergeCell ref="D21:M21"/>
    <mergeCell ref="D5:M5"/>
    <mergeCell ref="E23:F23"/>
    <mergeCell ref="E24:F24"/>
    <mergeCell ref="E25:F25"/>
    <mergeCell ref="I23:J23"/>
    <mergeCell ref="I24:J24"/>
    <mergeCell ref="I25:J25"/>
  </mergeCells>
  <hyperlinks>
    <hyperlink ref="E11" location="Instrucciones!E280" display="País" xr:uid="{00000000-0004-0000-0300-000000000000}"/>
    <hyperlink ref="E13" location="Instrucciones!E281" display="Ciudad" xr:uid="{00000000-0004-0000-0300-000001000000}"/>
    <hyperlink ref="E15" location="Instrucciones!E283" display="Fecha de cálculo (dd/mm/aaaa)" xr:uid="{00000000-0004-0000-0300-000002000000}"/>
    <hyperlink ref="I11" location="Instrucciones!E282" display="Moneda para cálculos" xr:uid="{00000000-0004-0000-0300-000003000000}"/>
    <hyperlink ref="I13" location="Instrucciones!E284" display="Tasa de cambio ($/dólar)" xr:uid="{00000000-0004-0000-0300-000004000000}"/>
    <hyperlink ref="D31:M31" location="Instrucciones!E282" display="Indique la opción de cálculo para estimar las cantidades de residuos reciclables a manejar" xr:uid="{00000000-0004-0000-0300-000005000000}"/>
    <hyperlink ref="F42:G42" location="Instrucciones!E306" display="Instrucciones!E306" xr:uid="{00000000-0004-0000-0300-000006000000}"/>
    <hyperlink ref="H42" location="Instrucciones!E307" display="Densidad" xr:uid="{00000000-0004-0000-0300-000007000000}"/>
  </hyperlinks>
  <pageMargins left="0.7" right="0.7" top="0.75" bottom="0.75" header="0.3" footer="0.3"/>
  <pageSetup paperSize="9" orientation="portrait" r:id="rId1"/>
  <drawing r:id="rId2"/>
  <legacyDrawing r:id="rId3"/>
  <controls>
    <mc:AlternateContent xmlns:mc="http://schemas.openxmlformats.org/markup-compatibility/2006">
      <mc:Choice Requires="x14">
        <control shapeId="1052" r:id="rId4" name="Escenario3">
          <controlPr defaultSize="0" autoLine="0" linkedCell="'Resultados Oc'!B96" r:id="rId5">
            <anchor moveWithCells="1">
              <from>
                <xdr:col>10</xdr:col>
                <xdr:colOff>838200</xdr:colOff>
                <xdr:row>22</xdr:row>
                <xdr:rowOff>257175</xdr:rowOff>
              </from>
              <to>
                <xdr:col>10</xdr:col>
                <xdr:colOff>1009650</xdr:colOff>
                <xdr:row>22</xdr:row>
                <xdr:rowOff>409575</xdr:rowOff>
              </to>
            </anchor>
          </controlPr>
        </control>
      </mc:Choice>
      <mc:Fallback>
        <control shapeId="1052" r:id="rId4" name="Escenario3"/>
      </mc:Fallback>
    </mc:AlternateContent>
    <mc:AlternateContent xmlns:mc="http://schemas.openxmlformats.org/markup-compatibility/2006">
      <mc:Choice Requires="x14">
        <control shapeId="1051" r:id="rId6" name="Escenario2">
          <controlPr defaultSize="0" autoLine="0" linkedCell="'Resultados Oc'!B95" r:id="rId7">
            <anchor moveWithCells="1">
              <from>
                <xdr:col>9</xdr:col>
                <xdr:colOff>104775</xdr:colOff>
                <xdr:row>22</xdr:row>
                <xdr:rowOff>238125</xdr:rowOff>
              </from>
              <to>
                <xdr:col>9</xdr:col>
                <xdr:colOff>314325</xdr:colOff>
                <xdr:row>22</xdr:row>
                <xdr:rowOff>438150</xdr:rowOff>
              </to>
            </anchor>
          </controlPr>
        </control>
      </mc:Choice>
      <mc:Fallback>
        <control shapeId="1051" r:id="rId6" name="Escenario2"/>
      </mc:Fallback>
    </mc:AlternateContent>
    <mc:AlternateContent xmlns:mc="http://schemas.openxmlformats.org/markup-compatibility/2006">
      <mc:Choice Requires="x14">
        <control shapeId="1049" r:id="rId8" name="Escenario1">
          <controlPr defaultSize="0" autoLine="0" linkedCell="'Resultados Oc'!B94" r:id="rId9">
            <anchor moveWithCells="1">
              <from>
                <xdr:col>7</xdr:col>
                <xdr:colOff>800100</xdr:colOff>
                <xdr:row>22</xdr:row>
                <xdr:rowOff>257175</xdr:rowOff>
              </from>
              <to>
                <xdr:col>7</xdr:col>
                <xdr:colOff>1019175</xdr:colOff>
                <xdr:row>22</xdr:row>
                <xdr:rowOff>419100</xdr:rowOff>
              </to>
            </anchor>
          </controlPr>
        </control>
      </mc:Choice>
      <mc:Fallback>
        <control shapeId="1049" r:id="rId8" name="Escenario1"/>
      </mc:Fallback>
    </mc:AlternateContent>
    <mc:AlternateContent xmlns:mc="http://schemas.openxmlformats.org/markup-compatibility/2006">
      <mc:Choice Requires="x14">
        <control shapeId="1047" r:id="rId10" name="LineaBase">
          <controlPr defaultSize="0" autoLine="0" linkedCell="'Resultados Oc'!B93" r:id="rId11">
            <anchor moveWithCells="1">
              <from>
                <xdr:col>6</xdr:col>
                <xdr:colOff>704850</xdr:colOff>
                <xdr:row>22</xdr:row>
                <xdr:rowOff>219075</xdr:rowOff>
              </from>
              <to>
                <xdr:col>6</xdr:col>
                <xdr:colOff>1009650</xdr:colOff>
                <xdr:row>22</xdr:row>
                <xdr:rowOff>447675</xdr:rowOff>
              </to>
            </anchor>
          </controlPr>
        </control>
      </mc:Choice>
      <mc:Fallback>
        <control shapeId="1047" r:id="rId10" name="LineaBase"/>
      </mc:Fallback>
    </mc:AlternateContent>
    <mc:AlternateContent xmlns:mc="http://schemas.openxmlformats.org/markup-compatibility/2006">
      <mc:Choice Requires="x14">
        <control shapeId="1034" r:id="rId12" name="OptionButton3">
          <controlPr defaultSize="0" autoLine="0" linkedCell="Cálculos!C9" r:id="rId13">
            <anchor moveWithCells="1">
              <from>
                <xdr:col>9</xdr:col>
                <xdr:colOff>9525</xdr:colOff>
                <xdr:row>31</xdr:row>
                <xdr:rowOff>104775</xdr:rowOff>
              </from>
              <to>
                <xdr:col>11</xdr:col>
                <xdr:colOff>514350</xdr:colOff>
                <xdr:row>31</xdr:row>
                <xdr:rowOff>361950</xdr:rowOff>
              </to>
            </anchor>
          </controlPr>
        </control>
      </mc:Choice>
      <mc:Fallback>
        <control shapeId="1034" r:id="rId12" name="OptionButton3"/>
      </mc:Fallback>
    </mc:AlternateContent>
    <mc:AlternateContent xmlns:mc="http://schemas.openxmlformats.org/markup-compatibility/2006">
      <mc:Choice Requires="x14">
        <control shapeId="1033" r:id="rId14" name="OptionButton2">
          <controlPr defaultSize="0" autoLine="0" linkedCell="Cálculos!C8" r:id="rId15">
            <anchor moveWithCells="1">
              <from>
                <xdr:col>6</xdr:col>
                <xdr:colOff>0</xdr:colOff>
                <xdr:row>31</xdr:row>
                <xdr:rowOff>95250</xdr:rowOff>
              </from>
              <to>
                <xdr:col>8</xdr:col>
                <xdr:colOff>619125</xdr:colOff>
                <xdr:row>31</xdr:row>
                <xdr:rowOff>361950</xdr:rowOff>
              </to>
            </anchor>
          </controlPr>
        </control>
      </mc:Choice>
      <mc:Fallback>
        <control shapeId="1033" r:id="rId14" name="OptionButton2"/>
      </mc:Fallback>
    </mc:AlternateContent>
    <mc:AlternateContent xmlns:mc="http://schemas.openxmlformats.org/markup-compatibility/2006">
      <mc:Choice Requires="x14">
        <control shapeId="1032" r:id="rId16" name="OptionButton1">
          <controlPr defaultSize="0" autoLine="0" linkedCell="Cálculos!C7" r:id="rId17">
            <anchor moveWithCells="1">
              <from>
                <xdr:col>3</xdr:col>
                <xdr:colOff>95250</xdr:colOff>
                <xdr:row>31</xdr:row>
                <xdr:rowOff>66675</xdr:rowOff>
              </from>
              <to>
                <xdr:col>5</xdr:col>
                <xdr:colOff>495300</xdr:colOff>
                <xdr:row>31</xdr:row>
                <xdr:rowOff>371475</xdr:rowOff>
              </to>
            </anchor>
          </controlPr>
        </control>
      </mc:Choice>
      <mc:Fallback>
        <control shapeId="1032" r:id="rId16" name="OptionButton1"/>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6" id="{F9B344D2-B2F9-46CD-9F40-F03E5D84F564}">
            <xm:f>Cálculos!$C$7=FALSE</xm:f>
            <x14:dxf>
              <font>
                <color theme="0"/>
              </font>
              <fill>
                <patternFill patternType="none">
                  <bgColor auto="1"/>
                </patternFill>
              </fill>
              <border>
                <left/>
                <right/>
                <top/>
                <bottom/>
                <vertical/>
                <horizontal/>
              </border>
            </x14:dxf>
          </x14:cfRule>
          <xm:sqref>D34:E37</xm:sqref>
        </x14:conditionalFormatting>
        <x14:conditionalFormatting xmlns:xm="http://schemas.microsoft.com/office/excel/2006/main">
          <x14:cfRule type="expression" priority="5" id="{D77A5BF7-5C06-48B1-9A1D-D159320CE8B4}">
            <xm:f>Cálculos!$C$8=FALSE</xm:f>
            <x14:dxf>
              <font>
                <color theme="0"/>
              </font>
              <fill>
                <patternFill patternType="none">
                  <bgColor auto="1"/>
                </patternFill>
              </fill>
              <border>
                <left/>
                <right/>
                <top/>
                <bottom/>
                <vertical/>
                <horizontal/>
              </border>
            </x14:dxf>
          </x14:cfRule>
          <xm:sqref>G34:H37</xm:sqref>
        </x14:conditionalFormatting>
        <x14:conditionalFormatting xmlns:xm="http://schemas.microsoft.com/office/excel/2006/main">
          <x14:cfRule type="expression" priority="3" id="{8577C76A-CF57-4823-AF13-988678F99DC2}">
            <xm:f>Cálculos!$C$9=FALSE</xm:f>
            <x14:dxf>
              <font>
                <color theme="0"/>
              </font>
              <fill>
                <patternFill patternType="none">
                  <bgColor auto="1"/>
                </patternFill>
              </fill>
              <border>
                <left/>
                <right/>
                <top/>
                <bottom/>
                <vertical/>
                <horizontal/>
              </border>
            </x14:dxf>
          </x14:cfRule>
          <xm:sqref>J34:K38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Referencias!$A$7:$A$49</xm:f>
          </x14:formula1>
          <xm:sqref>G11</xm:sqref>
        </x14:dataValidation>
        <x14:dataValidation type="list" allowBlank="1" showInputMessage="1" showErrorMessage="1" xr:uid="{00000000-0002-0000-0300-000001000000}">
          <x14:formula1>
            <xm:f>Referencias!$Q$7:$Q$9</xm:f>
          </x14:formula1>
          <xm:sqref>K11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5" tint="0.59999389629810485"/>
  </sheetPr>
  <dimension ref="A2:S229"/>
  <sheetViews>
    <sheetView zoomScale="90" zoomScaleNormal="90" workbookViewId="0">
      <selection activeCell="A78" sqref="A78"/>
    </sheetView>
  </sheetViews>
  <sheetFormatPr baseColWidth="10" defaultColWidth="11.5703125" defaultRowHeight="15" x14ac:dyDescent="0.25"/>
  <cols>
    <col min="2" max="2" width="41.140625" customWidth="1"/>
    <col min="3" max="3" width="28.140625" bestFit="1" customWidth="1"/>
    <col min="4" max="4" width="28" bestFit="1" customWidth="1"/>
    <col min="5" max="5" width="33.42578125" bestFit="1" customWidth="1"/>
    <col min="6" max="6" width="19.5703125" customWidth="1"/>
    <col min="7" max="7" width="19.140625" customWidth="1"/>
    <col min="8" max="8" width="16.85546875" customWidth="1"/>
    <col min="9" max="9" width="19" bestFit="1" customWidth="1"/>
    <col min="10" max="10" width="19" customWidth="1"/>
    <col min="11" max="11" width="29.28515625" bestFit="1" customWidth="1"/>
    <col min="12" max="12" width="24.28515625" bestFit="1" customWidth="1"/>
    <col min="13" max="13" width="13.7109375" customWidth="1"/>
    <col min="14" max="14" width="17.28515625" bestFit="1" customWidth="1"/>
    <col min="15" max="15" width="18.7109375" customWidth="1"/>
    <col min="16" max="16" width="25.7109375" bestFit="1" customWidth="1"/>
    <col min="17" max="17" width="22.85546875" bestFit="1" customWidth="1"/>
    <col min="19" max="19" width="14.5703125" customWidth="1"/>
  </cols>
  <sheetData>
    <row r="2" spans="1:19" s="54" customFormat="1" ht="23.25" x14ac:dyDescent="0.35">
      <c r="B2" s="55" t="s">
        <v>82</v>
      </c>
      <c r="C2" s="55"/>
      <c r="D2" s="55"/>
      <c r="E2" s="55"/>
      <c r="F2" s="55"/>
      <c r="G2" s="55"/>
      <c r="H2" s="55"/>
      <c r="I2" s="55"/>
      <c r="J2" s="55"/>
      <c r="K2" s="55"/>
      <c r="L2" s="55"/>
      <c r="M2" s="55"/>
      <c r="N2" s="55"/>
      <c r="O2" s="55"/>
      <c r="P2" s="55"/>
      <c r="Q2" s="55"/>
      <c r="R2" s="55"/>
      <c r="S2" s="55"/>
    </row>
    <row r="4" spans="1:19" x14ac:dyDescent="0.25">
      <c r="A4" s="902" t="s">
        <v>59</v>
      </c>
      <c r="B4" s="902"/>
      <c r="C4" s="902"/>
      <c r="D4" s="902"/>
      <c r="E4" s="902"/>
      <c r="F4" s="902"/>
      <c r="G4" s="902"/>
      <c r="H4" s="902"/>
      <c r="I4" s="902"/>
      <c r="J4" s="902"/>
      <c r="K4" s="902"/>
      <c r="L4" s="902"/>
      <c r="M4" s="902"/>
      <c r="N4" s="902"/>
    </row>
    <row r="6" spans="1:19" ht="16.5" x14ac:dyDescent="0.25">
      <c r="A6" s="17" t="s">
        <v>0</v>
      </c>
      <c r="B6" s="17" t="s">
        <v>1</v>
      </c>
      <c r="C6" s="18" t="s">
        <v>2</v>
      </c>
      <c r="D6" s="18" t="s">
        <v>3</v>
      </c>
      <c r="E6" s="18" t="s">
        <v>4</v>
      </c>
      <c r="F6" s="18" t="s">
        <v>5</v>
      </c>
      <c r="G6" s="18" t="s">
        <v>6</v>
      </c>
      <c r="H6" s="18"/>
      <c r="I6" s="18" t="s">
        <v>7</v>
      </c>
      <c r="J6" s="18"/>
      <c r="K6" s="18" t="s">
        <v>523</v>
      </c>
      <c r="L6" s="18"/>
      <c r="M6" s="18" t="s">
        <v>8</v>
      </c>
      <c r="N6" s="18" t="s">
        <v>9</v>
      </c>
      <c r="Q6" s="18" t="s">
        <v>63</v>
      </c>
      <c r="S6" s="18" t="s">
        <v>78</v>
      </c>
    </row>
    <row r="7" spans="1:19" ht="16.5" x14ac:dyDescent="0.3">
      <c r="A7" s="19" t="s">
        <v>10</v>
      </c>
      <c r="B7" s="19"/>
      <c r="C7" s="20"/>
      <c r="D7" s="20"/>
      <c r="E7" s="20"/>
      <c r="F7" s="20"/>
      <c r="G7" s="20"/>
      <c r="H7" s="20"/>
      <c r="I7" s="20"/>
      <c r="J7" s="20"/>
      <c r="K7" s="20"/>
      <c r="L7" s="20"/>
      <c r="M7" s="20"/>
      <c r="N7" s="19"/>
      <c r="Q7" s="23" t="s">
        <v>683</v>
      </c>
      <c r="S7" s="24">
        <v>7.5999999999999998E-2</v>
      </c>
    </row>
    <row r="8" spans="1:19" ht="16.5" x14ac:dyDescent="0.3">
      <c r="A8" s="19" t="s">
        <v>11</v>
      </c>
      <c r="B8" s="19" t="s">
        <v>12</v>
      </c>
      <c r="C8" s="20"/>
      <c r="D8" s="20"/>
      <c r="E8" s="20"/>
      <c r="F8" s="20"/>
      <c r="G8" s="20"/>
      <c r="H8" s="20"/>
      <c r="I8" s="20"/>
      <c r="J8" s="20"/>
      <c r="K8" s="20"/>
      <c r="L8" s="20"/>
      <c r="M8" s="20"/>
      <c r="N8" s="21">
        <f>SUM(C8:M8)</f>
        <v>0</v>
      </c>
      <c r="Q8" s="23" t="s">
        <v>64</v>
      </c>
      <c r="S8" s="24">
        <v>5.5E-2</v>
      </c>
    </row>
    <row r="9" spans="1:19" ht="16.5" x14ac:dyDescent="0.3">
      <c r="A9" s="19" t="s">
        <v>13</v>
      </c>
      <c r="B9" s="19" t="s">
        <v>14</v>
      </c>
      <c r="C9" s="22">
        <v>0.4</v>
      </c>
      <c r="D9" s="22">
        <v>0.33333333333333331</v>
      </c>
      <c r="E9" s="22">
        <v>0.19999999999999998</v>
      </c>
      <c r="F9" s="22">
        <v>0.31111111111111112</v>
      </c>
      <c r="G9" s="22">
        <v>0.11111111111111112</v>
      </c>
      <c r="H9" s="22">
        <v>0</v>
      </c>
      <c r="I9" s="22">
        <v>4.4444444444444446E-2</v>
      </c>
      <c r="J9" s="22"/>
      <c r="K9" s="22">
        <v>0.45</v>
      </c>
      <c r="L9" s="22"/>
      <c r="M9" s="22">
        <v>0</v>
      </c>
      <c r="N9" s="22">
        <f>(SUM(C9:M9))</f>
        <v>1.85</v>
      </c>
      <c r="Q9" s="23" t="s">
        <v>65</v>
      </c>
      <c r="S9" s="24">
        <v>0.25</v>
      </c>
    </row>
    <row r="10" spans="1:19" ht="16.5" x14ac:dyDescent="0.3">
      <c r="A10" s="19" t="s">
        <v>15</v>
      </c>
      <c r="B10" s="19" t="s">
        <v>12</v>
      </c>
      <c r="C10" s="22">
        <v>0.54</v>
      </c>
      <c r="D10" s="22">
        <v>0.29411764705882354</v>
      </c>
      <c r="E10" s="22">
        <v>0.1764705882352941</v>
      </c>
      <c r="F10" s="22">
        <v>0.3529411764705882</v>
      </c>
      <c r="G10" s="22">
        <v>0.11764705882352941</v>
      </c>
      <c r="H10" s="22">
        <v>0</v>
      </c>
      <c r="I10" s="22">
        <v>5.8823529411764705E-2</v>
      </c>
      <c r="J10" s="22"/>
      <c r="K10" s="22">
        <v>0.34</v>
      </c>
      <c r="L10" s="22"/>
      <c r="M10" s="22">
        <v>0</v>
      </c>
      <c r="N10" s="22">
        <f t="shared" ref="N10:N50" si="0">(SUM(C10:M10))</f>
        <v>1.8800000000000003</v>
      </c>
      <c r="S10" s="24">
        <v>4.2999999999999997E-2</v>
      </c>
    </row>
    <row r="11" spans="1:19" ht="16.5" x14ac:dyDescent="0.3">
      <c r="A11" s="19" t="s">
        <v>16</v>
      </c>
      <c r="B11" s="19" t="s">
        <v>12</v>
      </c>
      <c r="C11" s="22">
        <v>0.54</v>
      </c>
      <c r="D11" s="22">
        <v>0.29411764705882354</v>
      </c>
      <c r="E11" s="22">
        <v>0.1764705882352941</v>
      </c>
      <c r="F11" s="22">
        <v>0.3529411764705882</v>
      </c>
      <c r="G11" s="22">
        <v>0.11764705882352941</v>
      </c>
      <c r="H11" s="22">
        <v>0</v>
      </c>
      <c r="I11" s="22">
        <v>5.8823529411764705E-2</v>
      </c>
      <c r="J11" s="22"/>
      <c r="K11" s="22">
        <v>0.34</v>
      </c>
      <c r="L11" s="22"/>
      <c r="M11" s="22">
        <v>0</v>
      </c>
      <c r="N11" s="22">
        <f t="shared" si="0"/>
        <v>1.8800000000000003</v>
      </c>
      <c r="S11" s="24">
        <v>0.1295</v>
      </c>
    </row>
    <row r="12" spans="1:19" ht="16.5" x14ac:dyDescent="0.3">
      <c r="A12" s="19" t="s">
        <v>17</v>
      </c>
      <c r="B12" s="19" t="s">
        <v>12</v>
      </c>
      <c r="C12" s="22">
        <v>0.54</v>
      </c>
      <c r="D12" s="22">
        <v>0.29411764705882354</v>
      </c>
      <c r="E12" s="22">
        <v>0.1764705882352941</v>
      </c>
      <c r="F12" s="22">
        <v>0.3529411764705882</v>
      </c>
      <c r="G12" s="22">
        <v>0.11764705882352941</v>
      </c>
      <c r="H12" s="22">
        <v>0</v>
      </c>
      <c r="I12" s="22">
        <v>5.8823529411764705E-2</v>
      </c>
      <c r="J12" s="22"/>
      <c r="K12" s="22">
        <v>0.34</v>
      </c>
      <c r="L12" s="22"/>
      <c r="M12" s="22">
        <v>0</v>
      </c>
      <c r="N12" s="22">
        <f t="shared" si="0"/>
        <v>1.8800000000000003</v>
      </c>
      <c r="S12" s="24">
        <v>0.105</v>
      </c>
    </row>
    <row r="13" spans="1:19" ht="16.5" x14ac:dyDescent="0.3">
      <c r="A13" s="19" t="s">
        <v>18</v>
      </c>
      <c r="B13" s="19" t="s">
        <v>19</v>
      </c>
      <c r="C13" s="22">
        <v>0.6</v>
      </c>
      <c r="D13" s="22">
        <v>0.37142857142857144</v>
      </c>
      <c r="E13" s="22">
        <v>0.20000000000000004</v>
      </c>
      <c r="F13" s="22">
        <v>0.14285714285714288</v>
      </c>
      <c r="G13" s="22">
        <v>0.14285714285714288</v>
      </c>
      <c r="H13" s="22">
        <v>0</v>
      </c>
      <c r="I13" s="22">
        <v>0.14285714285714288</v>
      </c>
      <c r="J13" s="22"/>
      <c r="K13" s="22">
        <v>0.35</v>
      </c>
      <c r="L13" s="22"/>
      <c r="M13" s="22">
        <v>0</v>
      </c>
      <c r="N13" s="22">
        <f t="shared" si="0"/>
        <v>1.9499999999999997</v>
      </c>
      <c r="S13" s="24">
        <v>9.6107142857142863E-2</v>
      </c>
    </row>
    <row r="14" spans="1:19" ht="16.5" x14ac:dyDescent="0.3">
      <c r="A14" s="19" t="s">
        <v>20</v>
      </c>
      <c r="B14" s="19" t="s">
        <v>14</v>
      </c>
      <c r="C14" s="22">
        <v>0.24</v>
      </c>
      <c r="D14" s="22">
        <v>0.23529411764705882</v>
      </c>
      <c r="E14" s="22">
        <v>0.11764705882352941</v>
      </c>
      <c r="F14" s="22">
        <v>0.47058823529411764</v>
      </c>
      <c r="G14" s="22">
        <v>0.11764705882352941</v>
      </c>
      <c r="H14" s="22">
        <v>0</v>
      </c>
      <c r="I14" s="22">
        <v>5.8823529411764705E-2</v>
      </c>
      <c r="J14" s="22"/>
      <c r="K14" s="22">
        <v>0.17</v>
      </c>
      <c r="L14" s="22"/>
      <c r="M14" s="22">
        <v>0</v>
      </c>
      <c r="N14" s="22">
        <f t="shared" si="0"/>
        <v>1.41</v>
      </c>
    </row>
    <row r="15" spans="1:19" ht="16.5" x14ac:dyDescent="0.3">
      <c r="A15" s="19" t="s">
        <v>21</v>
      </c>
      <c r="B15" s="19" t="s">
        <v>14</v>
      </c>
      <c r="C15" s="22">
        <v>0.61</v>
      </c>
      <c r="D15" s="22">
        <v>0.28571428571428564</v>
      </c>
      <c r="E15" s="22">
        <v>0.14285714285714282</v>
      </c>
      <c r="F15" s="22">
        <v>0.42857142857142844</v>
      </c>
      <c r="G15" s="22">
        <v>8.5714285714285687E-2</v>
      </c>
      <c r="H15" s="22">
        <v>0</v>
      </c>
      <c r="I15" s="22">
        <v>5.7142857142857127E-2</v>
      </c>
      <c r="J15" s="22"/>
      <c r="K15" s="22">
        <v>0.35000000000000009</v>
      </c>
      <c r="L15" s="22"/>
      <c r="M15" s="22">
        <v>0</v>
      </c>
      <c r="N15" s="22">
        <f t="shared" si="0"/>
        <v>1.9599999999999997</v>
      </c>
    </row>
    <row r="16" spans="1:19" ht="16.5" x14ac:dyDescent="0.3">
      <c r="A16" s="19" t="s">
        <v>22</v>
      </c>
      <c r="B16" s="19" t="s">
        <v>14</v>
      </c>
      <c r="C16" s="22">
        <v>0.54</v>
      </c>
      <c r="D16" s="22">
        <v>0.25</v>
      </c>
      <c r="E16" s="22">
        <v>0.14285714285714285</v>
      </c>
      <c r="F16" s="22">
        <v>0.35714285714285715</v>
      </c>
      <c r="G16" s="22">
        <v>0.17857142857142858</v>
      </c>
      <c r="H16" s="22">
        <v>0</v>
      </c>
      <c r="I16" s="22">
        <v>7.1428571428571425E-2</v>
      </c>
      <c r="J16" s="22"/>
      <c r="K16" s="22">
        <v>0.28000000000000003</v>
      </c>
      <c r="L16" s="22"/>
      <c r="M16" s="22">
        <v>0</v>
      </c>
      <c r="N16" s="22">
        <f t="shared" si="0"/>
        <v>1.82</v>
      </c>
    </row>
    <row r="17" spans="1:14" ht="16.5" x14ac:dyDescent="0.3">
      <c r="A17" s="19" t="s">
        <v>23</v>
      </c>
      <c r="B17" s="19" t="s">
        <v>19</v>
      </c>
      <c r="C17" s="22">
        <v>0.5</v>
      </c>
      <c r="D17" s="22">
        <v>0.30232558139534882</v>
      </c>
      <c r="E17" s="22">
        <v>0.18604651162790695</v>
      </c>
      <c r="F17" s="22">
        <v>0.41860465116279061</v>
      </c>
      <c r="G17" s="22">
        <v>4.6511627906976737E-2</v>
      </c>
      <c r="H17" s="22">
        <v>0</v>
      </c>
      <c r="I17" s="22">
        <v>4.6511627906976737E-2</v>
      </c>
      <c r="J17" s="22"/>
      <c r="K17" s="22">
        <v>0.43000000000000005</v>
      </c>
      <c r="L17" s="22"/>
      <c r="M17" s="22">
        <v>0</v>
      </c>
      <c r="N17" s="22">
        <f t="shared" si="0"/>
        <v>1.9300000000000002</v>
      </c>
    </row>
    <row r="18" spans="1:14" ht="16.5" x14ac:dyDescent="0.3">
      <c r="A18" s="19" t="s">
        <v>24</v>
      </c>
      <c r="B18" s="19" t="s">
        <v>12</v>
      </c>
      <c r="C18" s="22">
        <v>0.69</v>
      </c>
      <c r="D18" s="22">
        <v>0.27586206896551724</v>
      </c>
      <c r="E18" s="22">
        <v>0.13793103448275862</v>
      </c>
      <c r="F18" s="22">
        <v>0.34482758620689652</v>
      </c>
      <c r="G18" s="22">
        <v>0.17241379310344826</v>
      </c>
      <c r="H18" s="22">
        <v>0</v>
      </c>
      <c r="I18" s="22">
        <v>6.8965517241379309E-2</v>
      </c>
      <c r="J18" s="22"/>
      <c r="K18" s="22">
        <v>0.29000000000000004</v>
      </c>
      <c r="L18" s="22"/>
      <c r="M18" s="22">
        <v>0</v>
      </c>
      <c r="N18" s="22">
        <f t="shared" si="0"/>
        <v>1.9799999999999998</v>
      </c>
    </row>
    <row r="19" spans="1:14" ht="16.5" x14ac:dyDescent="0.3">
      <c r="A19" s="19" t="s">
        <v>25</v>
      </c>
      <c r="B19" s="19" t="s">
        <v>14</v>
      </c>
      <c r="C19" s="22">
        <v>0.5</v>
      </c>
      <c r="D19" s="22">
        <v>0.36363636363636354</v>
      </c>
      <c r="E19" s="22">
        <v>0.2121212121212121</v>
      </c>
      <c r="F19" s="22">
        <v>0.30303030303030298</v>
      </c>
      <c r="G19" s="22">
        <v>6.0606060606060594E-2</v>
      </c>
      <c r="H19" s="22">
        <v>0</v>
      </c>
      <c r="I19" s="22">
        <v>6.0606060606060594E-2</v>
      </c>
      <c r="J19" s="22"/>
      <c r="K19" s="22">
        <v>0.33000000000000007</v>
      </c>
      <c r="L19" s="22"/>
      <c r="M19" s="22">
        <v>0</v>
      </c>
      <c r="N19" s="22">
        <f t="shared" si="0"/>
        <v>1.8299999999999998</v>
      </c>
    </row>
    <row r="20" spans="1:14" ht="16.5" x14ac:dyDescent="0.3">
      <c r="A20" s="19" t="s">
        <v>26</v>
      </c>
      <c r="B20" s="19" t="s">
        <v>12</v>
      </c>
      <c r="C20" s="22">
        <v>0.54</v>
      </c>
      <c r="D20" s="22">
        <v>0.29411764705882354</v>
      </c>
      <c r="E20" s="22">
        <v>0.1764705882352941</v>
      </c>
      <c r="F20" s="22">
        <v>0.3529411764705882</v>
      </c>
      <c r="G20" s="22">
        <v>0.11764705882352941</v>
      </c>
      <c r="H20" s="22">
        <v>0</v>
      </c>
      <c r="I20" s="22">
        <v>5.8823529411764705E-2</v>
      </c>
      <c r="J20" s="22"/>
      <c r="K20" s="22">
        <v>0.34</v>
      </c>
      <c r="L20" s="22"/>
      <c r="M20" s="22">
        <v>0</v>
      </c>
      <c r="N20" s="22">
        <f t="shared" si="0"/>
        <v>1.8800000000000003</v>
      </c>
    </row>
    <row r="21" spans="1:14" ht="16.5" x14ac:dyDescent="0.3">
      <c r="A21" s="19" t="s">
        <v>27</v>
      </c>
      <c r="B21" s="19" t="s">
        <v>14</v>
      </c>
      <c r="C21" s="22">
        <v>0.54</v>
      </c>
      <c r="D21" s="22">
        <v>0.29411764705882354</v>
      </c>
      <c r="E21" s="22">
        <v>0.1764705882352941</v>
      </c>
      <c r="F21" s="22">
        <v>0.3529411764705882</v>
      </c>
      <c r="G21" s="22">
        <v>0.11764705882352941</v>
      </c>
      <c r="H21" s="22">
        <v>0</v>
      </c>
      <c r="I21" s="22">
        <v>5.8823529411764705E-2</v>
      </c>
      <c r="J21" s="22"/>
      <c r="K21" s="22">
        <v>0.34</v>
      </c>
      <c r="L21" s="22"/>
      <c r="M21" s="22">
        <v>0</v>
      </c>
      <c r="N21" s="22">
        <f t="shared" si="0"/>
        <v>1.8800000000000003</v>
      </c>
    </row>
    <row r="22" spans="1:14" ht="16.5" x14ac:dyDescent="0.3">
      <c r="A22" s="19" t="s">
        <v>28</v>
      </c>
      <c r="B22" s="19" t="s">
        <v>19</v>
      </c>
      <c r="C22" s="22">
        <v>0.54</v>
      </c>
      <c r="D22" s="22">
        <v>0.29411764705882354</v>
      </c>
      <c r="E22" s="22">
        <v>0.1764705882352941</v>
      </c>
      <c r="F22" s="22">
        <v>0.3529411764705882</v>
      </c>
      <c r="G22" s="22">
        <v>0.11764705882352941</v>
      </c>
      <c r="H22" s="22">
        <v>0</v>
      </c>
      <c r="I22" s="22">
        <v>5.8823529411764705E-2</v>
      </c>
      <c r="J22" s="22"/>
      <c r="K22" s="22">
        <v>0.34</v>
      </c>
      <c r="L22" s="22"/>
      <c r="M22" s="22">
        <v>0</v>
      </c>
      <c r="N22" s="22">
        <f t="shared" si="0"/>
        <v>1.8800000000000003</v>
      </c>
    </row>
    <row r="23" spans="1:14" ht="16.5" x14ac:dyDescent="0.3">
      <c r="A23" s="19" t="s">
        <v>29</v>
      </c>
      <c r="B23" s="19" t="s">
        <v>12</v>
      </c>
      <c r="C23" s="22">
        <v>0.54</v>
      </c>
      <c r="D23" s="22">
        <v>0.29411764705882354</v>
      </c>
      <c r="E23" s="22">
        <v>0.1764705882352941</v>
      </c>
      <c r="F23" s="22">
        <v>0.3529411764705882</v>
      </c>
      <c r="G23" s="22">
        <v>0.11764705882352941</v>
      </c>
      <c r="H23" s="22">
        <v>0</v>
      </c>
      <c r="I23" s="22">
        <v>5.8823529411764705E-2</v>
      </c>
      <c r="J23" s="22"/>
      <c r="K23" s="22">
        <v>0.34</v>
      </c>
      <c r="L23" s="22"/>
      <c r="M23" s="22">
        <v>0</v>
      </c>
      <c r="N23" s="22">
        <f t="shared" si="0"/>
        <v>1.8800000000000003</v>
      </c>
    </row>
    <row r="24" spans="1:14" ht="16.5" x14ac:dyDescent="0.3">
      <c r="A24" s="19" t="s">
        <v>30</v>
      </c>
      <c r="B24" s="19" t="s">
        <v>12</v>
      </c>
      <c r="C24" s="22">
        <v>0.54</v>
      </c>
      <c r="D24" s="22">
        <v>0.29411764705882354</v>
      </c>
      <c r="E24" s="22">
        <v>0.1764705882352941</v>
      </c>
      <c r="F24" s="22">
        <v>0.3529411764705882</v>
      </c>
      <c r="G24" s="22">
        <v>0.11764705882352941</v>
      </c>
      <c r="H24" s="22">
        <v>0</v>
      </c>
      <c r="I24" s="22">
        <v>5.8823529411764705E-2</v>
      </c>
      <c r="J24" s="22"/>
      <c r="K24" s="22">
        <v>0.34</v>
      </c>
      <c r="L24" s="22"/>
      <c r="M24" s="22">
        <v>0</v>
      </c>
      <c r="N24" s="22">
        <f t="shared" si="0"/>
        <v>1.8800000000000003</v>
      </c>
    </row>
    <row r="25" spans="1:14" ht="16.5" x14ac:dyDescent="0.3">
      <c r="A25" s="19" t="s">
        <v>31</v>
      </c>
      <c r="B25" s="19" t="s">
        <v>19</v>
      </c>
      <c r="C25" s="22">
        <v>0.44</v>
      </c>
      <c r="D25" s="22">
        <v>0.27500000000000002</v>
      </c>
      <c r="E25" s="22">
        <v>0.17500000000000004</v>
      </c>
      <c r="F25" s="22">
        <v>0.32500000000000001</v>
      </c>
      <c r="G25" s="22">
        <v>0.12500000000000003</v>
      </c>
      <c r="H25" s="22">
        <v>0</v>
      </c>
      <c r="I25" s="22">
        <v>0.1</v>
      </c>
      <c r="J25" s="22"/>
      <c r="K25" s="22">
        <v>0.39999999999999997</v>
      </c>
      <c r="L25" s="22"/>
      <c r="M25" s="22">
        <v>0</v>
      </c>
      <c r="N25" s="22">
        <f t="shared" si="0"/>
        <v>1.84</v>
      </c>
    </row>
    <row r="26" spans="1:14" ht="16.5" x14ac:dyDescent="0.3">
      <c r="A26" s="19" t="s">
        <v>32</v>
      </c>
      <c r="B26" s="19" t="s">
        <v>14</v>
      </c>
      <c r="C26" s="22">
        <v>0.49</v>
      </c>
      <c r="D26" s="22">
        <v>0.39473684210526316</v>
      </c>
      <c r="E26" s="22">
        <v>0.23684210526315788</v>
      </c>
      <c r="F26" s="22">
        <v>0.26315789473684209</v>
      </c>
      <c r="G26" s="22">
        <v>5.2631578947368418E-2</v>
      </c>
      <c r="H26" s="22">
        <v>0</v>
      </c>
      <c r="I26" s="22">
        <v>5.2631578947368418E-2</v>
      </c>
      <c r="J26" s="22"/>
      <c r="K26" s="22">
        <v>0.38</v>
      </c>
      <c r="L26" s="22"/>
      <c r="M26" s="22">
        <v>0</v>
      </c>
      <c r="N26" s="22">
        <f t="shared" si="0"/>
        <v>1.8699999999999997</v>
      </c>
    </row>
    <row r="27" spans="1:14" ht="16.5" x14ac:dyDescent="0.3">
      <c r="A27" s="19" t="s">
        <v>33</v>
      </c>
      <c r="B27" s="19" t="s">
        <v>14</v>
      </c>
      <c r="C27" s="22">
        <v>0.54</v>
      </c>
      <c r="D27" s="22">
        <v>0.29411764705882354</v>
      </c>
      <c r="E27" s="22">
        <v>0.1764705882352941</v>
      </c>
      <c r="F27" s="22">
        <v>0.3529411764705882</v>
      </c>
      <c r="G27" s="22">
        <v>0.11764705882352941</v>
      </c>
      <c r="H27" s="22">
        <v>0</v>
      </c>
      <c r="I27" s="22">
        <v>5.8823529411764705E-2</v>
      </c>
      <c r="J27" s="22"/>
      <c r="K27" s="22">
        <v>0.34</v>
      </c>
      <c r="L27" s="22"/>
      <c r="M27" s="22">
        <v>0</v>
      </c>
      <c r="N27" s="22">
        <f t="shared" si="0"/>
        <v>1.8800000000000003</v>
      </c>
    </row>
    <row r="28" spans="1:14" ht="16.5" x14ac:dyDescent="0.3">
      <c r="A28" s="19" t="s">
        <v>34</v>
      </c>
      <c r="B28" s="19" t="s">
        <v>12</v>
      </c>
      <c r="C28" s="22">
        <v>0.54</v>
      </c>
      <c r="D28" s="22">
        <v>0.29411764705882354</v>
      </c>
      <c r="E28" s="22">
        <v>0.1764705882352941</v>
      </c>
      <c r="F28" s="22">
        <v>0.3529411764705882</v>
      </c>
      <c r="G28" s="22">
        <v>0.11764705882352941</v>
      </c>
      <c r="H28" s="22">
        <v>0</v>
      </c>
      <c r="I28" s="22">
        <v>5.8823529411764705E-2</v>
      </c>
      <c r="J28" s="22"/>
      <c r="K28" s="22">
        <v>0.34</v>
      </c>
      <c r="L28" s="22"/>
      <c r="M28" s="22">
        <v>0</v>
      </c>
      <c r="N28" s="22">
        <f t="shared" si="0"/>
        <v>1.8800000000000003</v>
      </c>
    </row>
    <row r="29" spans="1:14" ht="16.5" x14ac:dyDescent="0.3">
      <c r="A29" s="19" t="s">
        <v>35</v>
      </c>
      <c r="B29" s="19" t="s">
        <v>19</v>
      </c>
      <c r="C29" s="22">
        <v>0.54</v>
      </c>
      <c r="D29" s="22">
        <v>0.29411764705882354</v>
      </c>
      <c r="E29" s="22">
        <v>0.1764705882352941</v>
      </c>
      <c r="F29" s="22">
        <v>0.3529411764705882</v>
      </c>
      <c r="G29" s="22">
        <v>0.11764705882352941</v>
      </c>
      <c r="H29" s="22">
        <v>0</v>
      </c>
      <c r="I29" s="22">
        <v>5.8823529411764705E-2</v>
      </c>
      <c r="J29" s="22"/>
      <c r="K29" s="22">
        <v>0.34</v>
      </c>
      <c r="L29" s="22"/>
      <c r="M29" s="22">
        <v>0</v>
      </c>
      <c r="N29" s="22">
        <f t="shared" si="0"/>
        <v>1.8800000000000003</v>
      </c>
    </row>
    <row r="30" spans="1:14" ht="16.5" x14ac:dyDescent="0.3">
      <c r="A30" s="19" t="s">
        <v>36</v>
      </c>
      <c r="B30" s="19" t="s">
        <v>12</v>
      </c>
      <c r="C30" s="22">
        <v>0.54</v>
      </c>
      <c r="D30" s="22">
        <v>0.29411764705882354</v>
      </c>
      <c r="E30" s="22">
        <v>0.1764705882352941</v>
      </c>
      <c r="F30" s="22">
        <v>0.3529411764705882</v>
      </c>
      <c r="G30" s="22">
        <v>0.11764705882352941</v>
      </c>
      <c r="H30" s="22">
        <v>0</v>
      </c>
      <c r="I30" s="22">
        <v>5.8823529411764705E-2</v>
      </c>
      <c r="J30" s="22"/>
      <c r="K30" s="22">
        <v>0.34</v>
      </c>
      <c r="L30" s="22"/>
      <c r="M30" s="22">
        <v>0</v>
      </c>
      <c r="N30" s="22">
        <f t="shared" si="0"/>
        <v>1.8800000000000003</v>
      </c>
    </row>
    <row r="31" spans="1:14" ht="16.5" x14ac:dyDescent="0.3">
      <c r="A31" s="19" t="s">
        <v>37</v>
      </c>
      <c r="B31" s="19" t="s">
        <v>12</v>
      </c>
      <c r="C31" s="22">
        <v>0.54</v>
      </c>
      <c r="D31" s="22">
        <v>0.29411764705882354</v>
      </c>
      <c r="E31" s="22">
        <v>0.1764705882352941</v>
      </c>
      <c r="F31" s="22">
        <v>0.3529411764705882</v>
      </c>
      <c r="G31" s="22">
        <v>0.11764705882352941</v>
      </c>
      <c r="H31" s="22">
        <v>0</v>
      </c>
      <c r="I31" s="22">
        <v>5.8823529411764705E-2</v>
      </c>
      <c r="J31" s="22"/>
      <c r="K31" s="22">
        <v>0.34</v>
      </c>
      <c r="L31" s="22"/>
      <c r="M31" s="22">
        <v>0</v>
      </c>
      <c r="N31" s="22">
        <f t="shared" si="0"/>
        <v>1.8800000000000003</v>
      </c>
    </row>
    <row r="32" spans="1:14" ht="16.5" x14ac:dyDescent="0.3">
      <c r="A32" s="19" t="s">
        <v>38</v>
      </c>
      <c r="B32" s="19" t="s">
        <v>12</v>
      </c>
      <c r="C32" s="22">
        <v>0.54</v>
      </c>
      <c r="D32" s="22">
        <v>0.29411764705882354</v>
      </c>
      <c r="E32" s="22">
        <v>0.1764705882352941</v>
      </c>
      <c r="F32" s="22">
        <v>0.3529411764705882</v>
      </c>
      <c r="G32" s="22">
        <v>0.11764705882352941</v>
      </c>
      <c r="H32" s="22">
        <v>0</v>
      </c>
      <c r="I32" s="22">
        <v>5.8823529411764705E-2</v>
      </c>
      <c r="J32" s="22"/>
      <c r="K32" s="22">
        <v>0.34</v>
      </c>
      <c r="L32" s="22"/>
      <c r="M32" s="22">
        <v>0</v>
      </c>
      <c r="N32" s="22">
        <f t="shared" si="0"/>
        <v>1.8800000000000003</v>
      </c>
    </row>
    <row r="33" spans="1:14" ht="16.5" x14ac:dyDescent="0.3">
      <c r="A33" s="19" t="s">
        <v>39</v>
      </c>
      <c r="B33" s="19" t="s">
        <v>12</v>
      </c>
      <c r="C33" s="22">
        <v>0.56999999999999995</v>
      </c>
      <c r="D33" s="22">
        <v>0.2</v>
      </c>
      <c r="E33" s="22">
        <v>0.12500000000000003</v>
      </c>
      <c r="F33" s="22">
        <v>0.45</v>
      </c>
      <c r="G33" s="22">
        <v>0.12500000000000003</v>
      </c>
      <c r="H33" s="22">
        <v>0</v>
      </c>
      <c r="I33" s="22">
        <v>0.1</v>
      </c>
      <c r="J33" s="22"/>
      <c r="K33" s="22">
        <v>0.39999999999999997</v>
      </c>
      <c r="L33" s="22"/>
      <c r="M33" s="22">
        <v>0</v>
      </c>
      <c r="N33" s="22">
        <f t="shared" si="0"/>
        <v>1.97</v>
      </c>
    </row>
    <row r="34" spans="1:14" ht="16.5" x14ac:dyDescent="0.3">
      <c r="A34" s="19" t="s">
        <v>40</v>
      </c>
      <c r="B34" s="19" t="s">
        <v>12</v>
      </c>
      <c r="C34" s="22">
        <v>0.54</v>
      </c>
      <c r="D34" s="22">
        <v>0.29411764705882354</v>
      </c>
      <c r="E34" s="22">
        <v>0.1764705882352941</v>
      </c>
      <c r="F34" s="22">
        <v>0.3529411764705882</v>
      </c>
      <c r="G34" s="22">
        <v>0.11764705882352941</v>
      </c>
      <c r="H34" s="22">
        <v>0</v>
      </c>
      <c r="I34" s="22">
        <v>5.8823529411764705E-2</v>
      </c>
      <c r="J34" s="22"/>
      <c r="K34" s="22">
        <v>0.34</v>
      </c>
      <c r="L34" s="22"/>
      <c r="M34" s="22">
        <v>0</v>
      </c>
      <c r="N34" s="22">
        <f t="shared" si="0"/>
        <v>1.8800000000000003</v>
      </c>
    </row>
    <row r="35" spans="1:14" ht="16.5" x14ac:dyDescent="0.3">
      <c r="A35" s="19" t="s">
        <v>41</v>
      </c>
      <c r="B35" s="19" t="s">
        <v>42</v>
      </c>
      <c r="C35" s="22">
        <v>0.51</v>
      </c>
      <c r="D35" s="22">
        <v>0.33333333333333331</v>
      </c>
      <c r="E35" s="22">
        <v>0.16666666666666666</v>
      </c>
      <c r="F35" s="22">
        <v>0.19999999999999996</v>
      </c>
      <c r="G35" s="22">
        <v>0.19999999999999996</v>
      </c>
      <c r="H35" s="22">
        <v>0</v>
      </c>
      <c r="I35" s="22">
        <v>9.9999999999999978E-2</v>
      </c>
      <c r="J35" s="22"/>
      <c r="K35" s="22">
        <v>0.30000000000000004</v>
      </c>
      <c r="L35" s="22"/>
      <c r="M35" s="22">
        <v>0</v>
      </c>
      <c r="N35" s="22">
        <f t="shared" si="0"/>
        <v>1.8099999999999998</v>
      </c>
    </row>
    <row r="36" spans="1:14" ht="16.5" x14ac:dyDescent="0.3">
      <c r="A36" s="19" t="s">
        <v>43</v>
      </c>
      <c r="B36" s="19" t="s">
        <v>19</v>
      </c>
      <c r="C36" s="22">
        <v>0.54</v>
      </c>
      <c r="D36" s="22">
        <v>0.29411764705882354</v>
      </c>
      <c r="E36" s="22">
        <v>0.1764705882352941</v>
      </c>
      <c r="F36" s="22">
        <v>0.3529411764705882</v>
      </c>
      <c r="G36" s="22">
        <v>0.11764705882352941</v>
      </c>
      <c r="H36" s="22">
        <v>0</v>
      </c>
      <c r="I36" s="22">
        <v>5.8823529411764705E-2</v>
      </c>
      <c r="J36" s="22"/>
      <c r="K36" s="22">
        <v>0.34</v>
      </c>
      <c r="L36" s="22"/>
      <c r="M36" s="22">
        <v>0</v>
      </c>
      <c r="N36" s="22">
        <f t="shared" si="0"/>
        <v>1.8800000000000003</v>
      </c>
    </row>
    <row r="37" spans="1:14" ht="16.5" x14ac:dyDescent="0.3">
      <c r="A37" s="19" t="s">
        <v>44</v>
      </c>
      <c r="B37" s="19" t="s">
        <v>19</v>
      </c>
      <c r="C37" s="22">
        <v>0.44</v>
      </c>
      <c r="D37" s="22">
        <v>0.32653061224489799</v>
      </c>
      <c r="E37" s="22">
        <v>0.18367346938775511</v>
      </c>
      <c r="F37" s="22">
        <v>0.22448979591836735</v>
      </c>
      <c r="G37" s="22">
        <v>0.16326530612244899</v>
      </c>
      <c r="H37" s="22">
        <v>0</v>
      </c>
      <c r="I37" s="22">
        <v>0.10204081632653061</v>
      </c>
      <c r="J37" s="22"/>
      <c r="K37" s="22">
        <v>0.49</v>
      </c>
      <c r="L37" s="22"/>
      <c r="M37" s="22">
        <v>0</v>
      </c>
      <c r="N37" s="22">
        <f t="shared" si="0"/>
        <v>1.93</v>
      </c>
    </row>
    <row r="38" spans="1:14" ht="16.5" x14ac:dyDescent="0.3">
      <c r="A38" s="19" t="s">
        <v>45</v>
      </c>
      <c r="B38" s="19" t="s">
        <v>14</v>
      </c>
      <c r="C38" s="22">
        <v>0.54</v>
      </c>
      <c r="D38" s="22">
        <v>0.29411764705882354</v>
      </c>
      <c r="E38" s="22">
        <v>0.1764705882352941</v>
      </c>
      <c r="F38" s="22">
        <v>0.3529411764705882</v>
      </c>
      <c r="G38" s="22">
        <v>0.11764705882352941</v>
      </c>
      <c r="H38" s="22">
        <v>0</v>
      </c>
      <c r="I38" s="22">
        <v>5.8823529411764705E-2</v>
      </c>
      <c r="J38" s="22"/>
      <c r="K38" s="22">
        <v>0.34</v>
      </c>
      <c r="L38" s="22"/>
      <c r="M38" s="22">
        <v>0</v>
      </c>
      <c r="N38" s="22">
        <f t="shared" si="0"/>
        <v>1.8800000000000003</v>
      </c>
    </row>
    <row r="39" spans="1:14" ht="16.5" x14ac:dyDescent="0.3">
      <c r="A39" s="19" t="s">
        <v>46</v>
      </c>
      <c r="B39" s="19" t="s">
        <v>14</v>
      </c>
      <c r="C39" s="22">
        <v>0.55000000000000004</v>
      </c>
      <c r="D39" s="22">
        <v>0.25</v>
      </c>
      <c r="E39" s="22">
        <v>0.1875</v>
      </c>
      <c r="F39" s="22">
        <v>0.25</v>
      </c>
      <c r="G39" s="22">
        <v>0.1875</v>
      </c>
      <c r="H39" s="22">
        <v>0</v>
      </c>
      <c r="I39" s="22">
        <v>0.125</v>
      </c>
      <c r="J39" s="22"/>
      <c r="K39" s="22">
        <v>0.16</v>
      </c>
      <c r="L39" s="22"/>
      <c r="M39" s="22">
        <v>0</v>
      </c>
      <c r="N39" s="22">
        <f t="shared" si="0"/>
        <v>1.71</v>
      </c>
    </row>
    <row r="40" spans="1:14" ht="16.5" x14ac:dyDescent="0.3">
      <c r="A40" s="19" t="s">
        <v>47</v>
      </c>
      <c r="B40" s="19" t="s">
        <v>12</v>
      </c>
      <c r="C40" s="22">
        <v>0.54</v>
      </c>
      <c r="D40" s="22">
        <v>0.29411764705882354</v>
      </c>
      <c r="E40" s="22">
        <v>0.1764705882352941</v>
      </c>
      <c r="F40" s="22">
        <v>0.3529411764705882</v>
      </c>
      <c r="G40" s="22">
        <v>0.11764705882352941</v>
      </c>
      <c r="H40" s="22">
        <v>0</v>
      </c>
      <c r="I40" s="22">
        <v>5.8823529411764705E-2</v>
      </c>
      <c r="J40" s="22"/>
      <c r="K40" s="22">
        <v>0.34</v>
      </c>
      <c r="L40" s="22"/>
      <c r="M40" s="22">
        <v>0</v>
      </c>
      <c r="N40" s="22">
        <f t="shared" si="0"/>
        <v>1.8800000000000003</v>
      </c>
    </row>
    <row r="41" spans="1:14" ht="16.5" x14ac:dyDescent="0.3">
      <c r="A41" s="19" t="s">
        <v>48</v>
      </c>
      <c r="B41" s="19" t="s">
        <v>12</v>
      </c>
      <c r="C41" s="22">
        <v>0.39</v>
      </c>
      <c r="D41" s="22">
        <v>0.17307692307692307</v>
      </c>
      <c r="E41" s="22">
        <v>9.6153846153846159E-2</v>
      </c>
      <c r="F41" s="22">
        <v>0.69230769230769229</v>
      </c>
      <c r="G41" s="22">
        <v>1.9230769230769232E-2</v>
      </c>
      <c r="H41" s="22">
        <v>0</v>
      </c>
      <c r="I41" s="22">
        <v>1.9230769230769232E-2</v>
      </c>
      <c r="J41" s="22"/>
      <c r="K41" s="22">
        <v>0.52</v>
      </c>
      <c r="L41" s="22"/>
      <c r="M41" s="22">
        <v>0</v>
      </c>
      <c r="N41" s="22">
        <f t="shared" si="0"/>
        <v>1.9099999999999997</v>
      </c>
    </row>
    <row r="42" spans="1:14" ht="16.5" x14ac:dyDescent="0.3">
      <c r="A42" s="19" t="s">
        <v>49</v>
      </c>
      <c r="B42" s="19" t="s">
        <v>12</v>
      </c>
      <c r="C42" s="22">
        <v>0.54</v>
      </c>
      <c r="D42" s="22">
        <v>0.29411764705882354</v>
      </c>
      <c r="E42" s="22">
        <v>0.1764705882352941</v>
      </c>
      <c r="F42" s="22">
        <v>0.3529411764705882</v>
      </c>
      <c r="G42" s="22">
        <v>0.11764705882352941</v>
      </c>
      <c r="H42" s="22">
        <v>0</v>
      </c>
      <c r="I42" s="22">
        <v>5.8823529411764705E-2</v>
      </c>
      <c r="J42" s="22"/>
      <c r="K42" s="22">
        <v>0.34</v>
      </c>
      <c r="L42" s="22"/>
      <c r="M42" s="22">
        <v>0</v>
      </c>
      <c r="N42" s="22">
        <f t="shared" si="0"/>
        <v>1.8800000000000003</v>
      </c>
    </row>
    <row r="43" spans="1:14" ht="16.5" x14ac:dyDescent="0.3">
      <c r="A43" s="19" t="s">
        <v>50</v>
      </c>
      <c r="B43" s="19" t="s">
        <v>12</v>
      </c>
      <c r="C43" s="22">
        <v>0.54</v>
      </c>
      <c r="D43" s="22">
        <v>0.29411764705882354</v>
      </c>
      <c r="E43" s="22">
        <v>0.1764705882352941</v>
      </c>
      <c r="F43" s="22">
        <v>0.3529411764705882</v>
      </c>
      <c r="G43" s="22">
        <v>0.11764705882352941</v>
      </c>
      <c r="H43" s="22">
        <v>0</v>
      </c>
      <c r="I43" s="22">
        <v>5.8823529411764705E-2</v>
      </c>
      <c r="J43" s="22"/>
      <c r="K43" s="22">
        <v>0.34</v>
      </c>
      <c r="L43" s="22"/>
      <c r="M43" s="22">
        <v>0</v>
      </c>
      <c r="N43" s="22">
        <f t="shared" si="0"/>
        <v>1.8800000000000003</v>
      </c>
    </row>
    <row r="44" spans="1:14" ht="16.5" x14ac:dyDescent="0.3">
      <c r="A44" s="19" t="s">
        <v>51</v>
      </c>
      <c r="B44" s="19" t="s">
        <v>12</v>
      </c>
      <c r="C44" s="22">
        <v>0.34</v>
      </c>
      <c r="D44" s="22">
        <v>0.34482758620689652</v>
      </c>
      <c r="E44" s="22">
        <v>0.2068965517241379</v>
      </c>
      <c r="F44" s="22">
        <v>0.2068965517241379</v>
      </c>
      <c r="G44" s="22">
        <v>0.13793103448275862</v>
      </c>
      <c r="H44" s="22">
        <v>0</v>
      </c>
      <c r="I44" s="22">
        <v>0.10344827586206895</v>
      </c>
      <c r="J44" s="22"/>
      <c r="K44" s="22">
        <v>0.58000000000000007</v>
      </c>
      <c r="L44" s="22"/>
      <c r="M44" s="22">
        <v>0</v>
      </c>
      <c r="N44" s="22">
        <f t="shared" si="0"/>
        <v>1.9200000000000002</v>
      </c>
    </row>
    <row r="45" spans="1:14" ht="16.5" x14ac:dyDescent="0.3">
      <c r="A45" s="19" t="s">
        <v>52</v>
      </c>
      <c r="B45" s="19" t="s">
        <v>12</v>
      </c>
      <c r="C45" s="22">
        <v>0.54</v>
      </c>
      <c r="D45" s="22">
        <v>0.29411764705882354</v>
      </c>
      <c r="E45" s="22">
        <v>0.1764705882352941</v>
      </c>
      <c r="F45" s="22">
        <v>0.3529411764705882</v>
      </c>
      <c r="G45" s="22">
        <v>0.11764705882352941</v>
      </c>
      <c r="H45" s="22">
        <v>0</v>
      </c>
      <c r="I45" s="22">
        <v>5.8823529411764705E-2</v>
      </c>
      <c r="J45" s="22"/>
      <c r="K45" s="22">
        <v>0.34</v>
      </c>
      <c r="L45" s="22"/>
      <c r="M45" s="22">
        <v>0</v>
      </c>
      <c r="N45" s="22">
        <f t="shared" si="0"/>
        <v>1.8800000000000003</v>
      </c>
    </row>
    <row r="46" spans="1:14" ht="16.5" x14ac:dyDescent="0.3">
      <c r="A46" s="19" t="s">
        <v>53</v>
      </c>
      <c r="B46" s="19" t="s">
        <v>14</v>
      </c>
      <c r="C46" s="22">
        <v>0.54</v>
      </c>
      <c r="D46" s="22">
        <v>0.29411764705882354</v>
      </c>
      <c r="E46" s="22">
        <v>0.1764705882352941</v>
      </c>
      <c r="F46" s="22">
        <v>0.3529411764705882</v>
      </c>
      <c r="G46" s="22">
        <v>0.11764705882352941</v>
      </c>
      <c r="H46" s="22">
        <v>0</v>
      </c>
      <c r="I46" s="22">
        <v>5.8823529411764705E-2</v>
      </c>
      <c r="J46" s="22"/>
      <c r="K46" s="22">
        <v>0.34</v>
      </c>
      <c r="L46" s="22"/>
      <c r="M46" s="22">
        <v>0</v>
      </c>
      <c r="N46" s="22">
        <f t="shared" si="0"/>
        <v>1.8800000000000003</v>
      </c>
    </row>
    <row r="47" spans="1:14" ht="16.5" x14ac:dyDescent="0.3">
      <c r="A47" s="19" t="s">
        <v>54</v>
      </c>
      <c r="B47" s="19" t="s">
        <v>12</v>
      </c>
      <c r="C47" s="22">
        <v>0.14000000000000001</v>
      </c>
      <c r="D47" s="22">
        <v>0.26666666666666666</v>
      </c>
      <c r="E47" s="22">
        <v>0.15999999999999998</v>
      </c>
      <c r="F47" s="22">
        <v>0.31999999999999995</v>
      </c>
      <c r="G47" s="22">
        <v>3.9999999999999994E-2</v>
      </c>
      <c r="H47" s="22">
        <v>0</v>
      </c>
      <c r="I47" s="22">
        <v>0.21333333333333332</v>
      </c>
      <c r="J47" s="22"/>
      <c r="K47" s="22">
        <v>0.75000000000000011</v>
      </c>
      <c r="L47" s="22"/>
      <c r="M47" s="22">
        <v>0</v>
      </c>
      <c r="N47" s="22">
        <f t="shared" si="0"/>
        <v>1.8900000000000001</v>
      </c>
    </row>
    <row r="48" spans="1:14" ht="16.5" x14ac:dyDescent="0.3">
      <c r="A48" s="19" t="s">
        <v>55</v>
      </c>
      <c r="B48" s="19" t="s">
        <v>14</v>
      </c>
      <c r="C48" s="22">
        <v>0.54</v>
      </c>
      <c r="D48" s="22">
        <v>0.33333333333333337</v>
      </c>
      <c r="E48" s="22">
        <v>0.17948717948717952</v>
      </c>
      <c r="F48" s="22">
        <v>0.2820512820512821</v>
      </c>
      <c r="G48" s="22">
        <v>7.6923076923076927E-2</v>
      </c>
      <c r="H48" s="22">
        <v>0</v>
      </c>
      <c r="I48" s="22">
        <v>0.12820512820512822</v>
      </c>
      <c r="J48" s="22"/>
      <c r="K48" s="22">
        <v>0.38999999999999996</v>
      </c>
      <c r="L48" s="22"/>
      <c r="M48" s="22">
        <v>0</v>
      </c>
      <c r="N48" s="22">
        <f t="shared" si="0"/>
        <v>1.93</v>
      </c>
    </row>
    <row r="49" spans="1:19" ht="16.5" x14ac:dyDescent="0.3">
      <c r="A49" s="19" t="s">
        <v>56</v>
      </c>
      <c r="B49" s="19" t="s">
        <v>14</v>
      </c>
      <c r="C49" s="22">
        <v>0.54</v>
      </c>
      <c r="D49" s="22">
        <v>0.29411764705882354</v>
      </c>
      <c r="E49" s="22">
        <v>0.1764705882352941</v>
      </c>
      <c r="F49" s="22">
        <v>0.3529411764705882</v>
      </c>
      <c r="G49" s="22">
        <v>0.11764705882352941</v>
      </c>
      <c r="H49" s="22">
        <v>0</v>
      </c>
      <c r="I49" s="22">
        <v>5.8823529411764705E-2</v>
      </c>
      <c r="J49" s="22"/>
      <c r="K49" s="22">
        <v>0.34</v>
      </c>
      <c r="L49" s="22"/>
      <c r="M49" s="22">
        <v>0</v>
      </c>
      <c r="N49" s="22">
        <f t="shared" si="0"/>
        <v>1.8800000000000003</v>
      </c>
    </row>
    <row r="50" spans="1:19" ht="16.5" x14ac:dyDescent="0.3">
      <c r="A50" s="19" t="s">
        <v>57</v>
      </c>
      <c r="B50" s="19" t="s">
        <v>58</v>
      </c>
      <c r="C50" s="22">
        <v>0.54</v>
      </c>
      <c r="D50" s="22">
        <v>0.29411764705882354</v>
      </c>
      <c r="E50" s="22">
        <v>0.1764705882352941</v>
      </c>
      <c r="F50" s="22">
        <v>0.3529411764705882</v>
      </c>
      <c r="G50" s="22">
        <v>0.11764705882352941</v>
      </c>
      <c r="H50" s="22">
        <v>0</v>
      </c>
      <c r="I50" s="22">
        <v>5.8823529411764705E-2</v>
      </c>
      <c r="J50" s="22"/>
      <c r="K50" s="22">
        <v>0.34</v>
      </c>
      <c r="L50" s="22"/>
      <c r="M50" s="22">
        <v>0</v>
      </c>
      <c r="N50" s="22">
        <f t="shared" si="0"/>
        <v>1.8800000000000003</v>
      </c>
    </row>
    <row r="53" spans="1:19" s="54" customFormat="1" ht="23.25" x14ac:dyDescent="0.35">
      <c r="B53" s="55" t="s">
        <v>223</v>
      </c>
      <c r="C53" s="55"/>
      <c r="D53" s="55"/>
      <c r="E53" s="55"/>
      <c r="F53" s="55"/>
      <c r="G53" s="55"/>
      <c r="H53" s="55"/>
      <c r="I53" s="55"/>
      <c r="J53" s="55"/>
      <c r="K53" s="55"/>
      <c r="L53" s="55"/>
      <c r="M53" s="55"/>
      <c r="N53" s="55"/>
      <c r="O53" s="55"/>
      <c r="P53" s="55"/>
      <c r="Q53" s="55"/>
      <c r="R53" s="55"/>
      <c r="S53" s="55"/>
    </row>
    <row r="55" spans="1:19" x14ac:dyDescent="0.25">
      <c r="B55" s="25" t="s">
        <v>84</v>
      </c>
      <c r="C55" s="23"/>
    </row>
    <row r="56" spans="1:19" x14ac:dyDescent="0.25">
      <c r="B56" s="23"/>
      <c r="C56" s="23" t="s">
        <v>86</v>
      </c>
    </row>
    <row r="57" spans="1:19" x14ac:dyDescent="0.25">
      <c r="B57" s="23" t="s">
        <v>87</v>
      </c>
      <c r="C57" s="23"/>
    </row>
    <row r="58" spans="1:19" x14ac:dyDescent="0.25">
      <c r="B58" s="23" t="s">
        <v>85</v>
      </c>
      <c r="C58" s="23">
        <v>1</v>
      </c>
    </row>
    <row r="59" spans="1:19" x14ac:dyDescent="0.25">
      <c r="B59" s="23" t="s">
        <v>212</v>
      </c>
      <c r="C59" s="23">
        <v>2</v>
      </c>
    </row>
    <row r="60" spans="1:19" x14ac:dyDescent="0.25">
      <c r="B60" s="23" t="s">
        <v>433</v>
      </c>
      <c r="C60" s="23">
        <v>3</v>
      </c>
    </row>
    <row r="61" spans="1:19" x14ac:dyDescent="0.25">
      <c r="B61" s="23" t="s">
        <v>434</v>
      </c>
      <c r="C61" s="23">
        <v>4</v>
      </c>
    </row>
    <row r="63" spans="1:19" x14ac:dyDescent="0.25">
      <c r="B63" s="23" t="s">
        <v>114</v>
      </c>
      <c r="C63" s="23"/>
    </row>
    <row r="64" spans="1:19" x14ac:dyDescent="0.25">
      <c r="B64" s="23" t="s">
        <v>106</v>
      </c>
      <c r="C64" s="23" t="s">
        <v>108</v>
      </c>
    </row>
    <row r="65" spans="1:8" x14ac:dyDescent="0.25">
      <c r="B65" s="23" t="s">
        <v>107</v>
      </c>
      <c r="C65" s="23" t="s">
        <v>109</v>
      </c>
    </row>
    <row r="67" spans="1:8" x14ac:dyDescent="0.25">
      <c r="B67" s="23" t="s">
        <v>114</v>
      </c>
      <c r="C67" s="23"/>
    </row>
    <row r="68" spans="1:8" x14ac:dyDescent="0.25">
      <c r="B68" s="23" t="s">
        <v>112</v>
      </c>
      <c r="C68" s="23" t="s">
        <v>115</v>
      </c>
    </row>
    <row r="69" spans="1:8" x14ac:dyDescent="0.25">
      <c r="B69" s="23" t="s">
        <v>113</v>
      </c>
      <c r="C69" s="23" t="s">
        <v>116</v>
      </c>
    </row>
    <row r="72" spans="1:8" x14ac:dyDescent="0.25">
      <c r="B72" s="23" t="s">
        <v>114</v>
      </c>
    </row>
    <row r="73" spans="1:8" x14ac:dyDescent="0.25">
      <c r="B73" s="23" t="s">
        <v>464</v>
      </c>
    </row>
    <row r="74" spans="1:8" x14ac:dyDescent="0.25">
      <c r="B74" s="23" t="s">
        <v>465</v>
      </c>
    </row>
    <row r="76" spans="1:8" x14ac:dyDescent="0.25">
      <c r="C76" t="s">
        <v>85</v>
      </c>
      <c r="D76" t="s">
        <v>212</v>
      </c>
      <c r="E76" t="s">
        <v>433</v>
      </c>
      <c r="F76" t="s">
        <v>434</v>
      </c>
      <c r="G76" t="s">
        <v>153</v>
      </c>
    </row>
    <row r="77" spans="1:8" x14ac:dyDescent="0.25">
      <c r="A77" s="27">
        <v>1</v>
      </c>
      <c r="B77" s="28" t="s">
        <v>227</v>
      </c>
      <c r="C77" s="28">
        <v>0.5</v>
      </c>
      <c r="D77" s="28">
        <v>3.5</v>
      </c>
      <c r="E77" s="28">
        <v>0.25</v>
      </c>
      <c r="F77" s="28">
        <v>3.5</v>
      </c>
      <c r="G77" s="28"/>
      <c r="H77" s="28"/>
    </row>
    <row r="78" spans="1:8" x14ac:dyDescent="0.25">
      <c r="A78">
        <v>2</v>
      </c>
      <c r="B78" s="2" t="s">
        <v>228</v>
      </c>
      <c r="C78" s="2">
        <v>6.25</v>
      </c>
      <c r="D78" s="2">
        <v>43</v>
      </c>
      <c r="E78" s="2">
        <v>3.125</v>
      </c>
      <c r="F78" s="2">
        <f>+D78</f>
        <v>43</v>
      </c>
      <c r="G78" s="2"/>
      <c r="H78" s="2"/>
    </row>
    <row r="79" spans="1:8" x14ac:dyDescent="0.25">
      <c r="A79" s="27">
        <v>3</v>
      </c>
      <c r="B79" s="28" t="s">
        <v>229</v>
      </c>
      <c r="C79" s="28">
        <f>+SUM(C80:C83)</f>
        <v>1.5523809523809524</v>
      </c>
      <c r="D79" s="28">
        <f>+SUM(D80:D83)</f>
        <v>4.5928571428571425</v>
      </c>
      <c r="E79" s="28">
        <f>+SUM(E80:E83)</f>
        <v>2.5797619047619045</v>
      </c>
      <c r="F79" s="28">
        <f>+SUM(F80:F83)</f>
        <v>1.1428571428571426</v>
      </c>
      <c r="G79" s="28"/>
      <c r="H79" s="28"/>
    </row>
    <row r="80" spans="1:8" x14ac:dyDescent="0.25">
      <c r="A80">
        <v>4</v>
      </c>
      <c r="B80" s="2" t="s">
        <v>88</v>
      </c>
      <c r="C80" s="2">
        <v>0.49285714285714288</v>
      </c>
      <c r="D80" s="2">
        <v>0.476190476190476</v>
      </c>
      <c r="E80" s="2">
        <v>0.24642857142857144</v>
      </c>
      <c r="F80" s="2">
        <f>+D80</f>
        <v>0.476190476190476</v>
      </c>
      <c r="G80" s="2"/>
      <c r="H80" s="2"/>
    </row>
    <row r="81" spans="1:8" x14ac:dyDescent="0.25">
      <c r="A81" s="27">
        <v>5</v>
      </c>
      <c r="B81" s="28" t="s">
        <v>89</v>
      </c>
      <c r="C81" s="28">
        <v>0.47619047619047616</v>
      </c>
      <c r="D81" s="28">
        <v>3.45</v>
      </c>
      <c r="E81" s="28">
        <v>2</v>
      </c>
      <c r="F81" s="28">
        <v>0</v>
      </c>
      <c r="G81" s="28"/>
      <c r="H81" s="28"/>
    </row>
    <row r="82" spans="1:8" x14ac:dyDescent="0.25">
      <c r="A82">
        <v>6</v>
      </c>
      <c r="B82" s="2" t="s">
        <v>90</v>
      </c>
      <c r="C82" s="2">
        <v>0.33333333333333331</v>
      </c>
      <c r="D82" s="2">
        <v>0.33333333333333331</v>
      </c>
      <c r="E82" s="2">
        <v>0.16666666666666666</v>
      </c>
      <c r="F82" s="2">
        <v>0.33333333333333331</v>
      </c>
      <c r="G82" s="2"/>
      <c r="H82" s="2"/>
    </row>
    <row r="83" spans="1:8" x14ac:dyDescent="0.25">
      <c r="A83" s="27">
        <v>7</v>
      </c>
      <c r="B83" s="28" t="s">
        <v>91</v>
      </c>
      <c r="C83" s="28">
        <v>0.25</v>
      </c>
      <c r="D83" s="28">
        <v>0.33333333333333331</v>
      </c>
      <c r="E83" s="28">
        <v>0.16666666666666666</v>
      </c>
      <c r="F83" s="28">
        <v>0.33333333333333331</v>
      </c>
      <c r="G83" s="28"/>
      <c r="H83" s="28"/>
    </row>
    <row r="84" spans="1:8" x14ac:dyDescent="0.25">
      <c r="A84">
        <v>8</v>
      </c>
      <c r="B84" s="2" t="s">
        <v>92</v>
      </c>
      <c r="C84" s="2">
        <v>1</v>
      </c>
      <c r="D84" s="2">
        <v>2</v>
      </c>
      <c r="E84" s="2">
        <v>1</v>
      </c>
      <c r="F84" s="2">
        <v>1</v>
      </c>
      <c r="G84" s="2"/>
      <c r="H84" s="2"/>
    </row>
    <row r="85" spans="1:8" x14ac:dyDescent="0.25">
      <c r="A85" s="27">
        <v>9</v>
      </c>
      <c r="B85" s="28" t="s">
        <v>93</v>
      </c>
      <c r="C85" s="28">
        <v>1</v>
      </c>
      <c r="D85" s="28">
        <v>1</v>
      </c>
      <c r="E85" s="28">
        <v>0</v>
      </c>
      <c r="F85" s="28">
        <v>1</v>
      </c>
      <c r="G85" s="28"/>
      <c r="H85" s="28"/>
    </row>
    <row r="86" spans="1:8" x14ac:dyDescent="0.25">
      <c r="A86">
        <v>10</v>
      </c>
      <c r="B86" s="38" t="s">
        <v>94</v>
      </c>
      <c r="C86" s="39">
        <v>0.1</v>
      </c>
      <c r="D86" s="39">
        <v>0.1</v>
      </c>
      <c r="E86" s="39">
        <v>0.1</v>
      </c>
      <c r="F86" s="39">
        <v>0.1</v>
      </c>
      <c r="G86" s="39"/>
      <c r="H86" s="39"/>
    </row>
    <row r="87" spans="1:8" x14ac:dyDescent="0.25">
      <c r="A87" s="27">
        <v>11</v>
      </c>
      <c r="B87" s="28" t="s">
        <v>230</v>
      </c>
      <c r="C87" s="28">
        <v>12</v>
      </c>
      <c r="D87" s="28">
        <v>12</v>
      </c>
      <c r="E87" s="28">
        <v>2</v>
      </c>
      <c r="F87" s="28">
        <v>12</v>
      </c>
      <c r="G87" s="28"/>
      <c r="H87" s="28"/>
    </row>
    <row r="88" spans="1:8" x14ac:dyDescent="0.25">
      <c r="A88">
        <v>12</v>
      </c>
      <c r="B88" s="2" t="s">
        <v>224</v>
      </c>
      <c r="C88" s="2">
        <v>0.05</v>
      </c>
      <c r="D88" s="2">
        <v>0.08</v>
      </c>
      <c r="E88" s="2">
        <v>0</v>
      </c>
      <c r="F88" s="2">
        <f>+D88</f>
        <v>0.08</v>
      </c>
      <c r="G88" s="2"/>
      <c r="H88" s="2"/>
    </row>
    <row r="89" spans="1:8" x14ac:dyDescent="0.25">
      <c r="A89" s="27">
        <v>13</v>
      </c>
      <c r="B89" s="28" t="s">
        <v>269</v>
      </c>
      <c r="C89" s="28">
        <v>2.1</v>
      </c>
      <c r="D89" s="28">
        <v>3.36</v>
      </c>
      <c r="E89" s="28">
        <v>0</v>
      </c>
      <c r="F89" s="28">
        <f>+D89</f>
        <v>3.36</v>
      </c>
      <c r="G89" s="28"/>
      <c r="H89" s="28"/>
    </row>
    <row r="90" spans="1:8" x14ac:dyDescent="0.25">
      <c r="A90">
        <v>14</v>
      </c>
      <c r="B90" s="2" t="s">
        <v>225</v>
      </c>
      <c r="C90" s="2">
        <v>6</v>
      </c>
      <c r="D90" s="2">
        <v>8</v>
      </c>
      <c r="E90" s="2">
        <v>4</v>
      </c>
      <c r="F90" s="2">
        <v>8</v>
      </c>
      <c r="G90" s="2"/>
      <c r="H90" s="2"/>
    </row>
    <row r="91" spans="1:8" x14ac:dyDescent="0.25">
      <c r="A91" s="27">
        <v>15</v>
      </c>
      <c r="B91" s="28" t="s">
        <v>226</v>
      </c>
      <c r="C91" s="28">
        <v>42</v>
      </c>
      <c r="D91" s="28">
        <v>42</v>
      </c>
      <c r="E91" s="28">
        <v>10</v>
      </c>
      <c r="F91" s="28">
        <v>42</v>
      </c>
      <c r="G91" s="28"/>
      <c r="H91" s="28"/>
    </row>
    <row r="92" spans="1:8" x14ac:dyDescent="0.25">
      <c r="A92">
        <v>16</v>
      </c>
      <c r="B92" s="2" t="s">
        <v>231</v>
      </c>
      <c r="C92" s="2">
        <v>2.86</v>
      </c>
      <c r="D92" s="2">
        <v>27.6</v>
      </c>
      <c r="E92" s="2">
        <v>0.98571428571428577</v>
      </c>
      <c r="F92" s="2">
        <v>27.6</v>
      </c>
      <c r="G92" s="2"/>
      <c r="H92" s="2"/>
    </row>
    <row r="93" spans="1:8" x14ac:dyDescent="0.25">
      <c r="A93" s="27">
        <v>17</v>
      </c>
      <c r="B93" s="28" t="s">
        <v>232</v>
      </c>
      <c r="C93" s="28">
        <v>20</v>
      </c>
      <c r="D93" s="28">
        <v>20</v>
      </c>
      <c r="E93" s="28">
        <v>20</v>
      </c>
      <c r="F93" s="28">
        <f>+D93</f>
        <v>20</v>
      </c>
      <c r="G93" s="28"/>
      <c r="H93" s="28"/>
    </row>
    <row r="94" spans="1:8" x14ac:dyDescent="0.25">
      <c r="A94">
        <v>18</v>
      </c>
      <c r="B94" s="2" t="s">
        <v>234</v>
      </c>
      <c r="C94" s="2">
        <f>7290.25038364943*IF('Datos Generales'!$K$15&gt;1,'Datos Generales'!$K$15,1)</f>
        <v>7290.2503836494298</v>
      </c>
      <c r="D94" s="2">
        <f>29161.0015345977*IF('Datos Generales'!$K$15&gt;1,'Datos Generales'!$K$15,1)</f>
        <v>29161.001534597701</v>
      </c>
      <c r="E94" s="2">
        <f>364.512519182471*IF('Datos Generales'!$K$15&gt;1,'Datos Generales'!$K$15,1)</f>
        <v>364.51251918247101</v>
      </c>
      <c r="F94" s="29">
        <f>+D94*IF('Datos Generales'!$K$15&gt;1,'Datos Generales'!$K$15,1)</f>
        <v>29161.001534597701</v>
      </c>
      <c r="G94" s="29">
        <f>320*IF('Datos Generales'!$K$15&gt;1,'Datos Generales'!$K$15,1)</f>
        <v>320</v>
      </c>
      <c r="H94" s="29"/>
    </row>
    <row r="95" spans="1:8" x14ac:dyDescent="0.25">
      <c r="A95" s="27">
        <v>19</v>
      </c>
      <c r="B95" s="28" t="s">
        <v>235</v>
      </c>
      <c r="C95" s="28">
        <f>+IF('Datos Generales'!$K$11="Moneda local",'Datos Generales'!$K$13*IF('Datos Generales'!$K$15&gt;1,'Datos Generales'!$K$15,1)*Referencias!C94,Referencias!C94)</f>
        <v>7290.2503836494298</v>
      </c>
      <c r="D95" s="28">
        <f>+IF('Datos Generales'!$K$11="Moneda local",'Datos Generales'!$K$13*IF('Datos Generales'!$K$15&gt;1,'Datos Generales'!$K$15,1)*Referencias!D94,Referencias!D94)</f>
        <v>29161.001534597701</v>
      </c>
      <c r="E95" s="28">
        <f>+IF('Datos Generales'!$K$11="Moneda local",'Datos Generales'!$K$13*IF('Datos Generales'!$K$15&gt;1,'Datos Generales'!$K$15,1)*Referencias!E94,Referencias!E94)</f>
        <v>364.51251918247101</v>
      </c>
      <c r="F95" s="28">
        <f>+IF('Datos Generales'!$K$11="Moneda local",'Datos Generales'!$K$13*IF('Datos Generales'!$K$15&gt;1,'Datos Generales'!$K$15,1)*Referencias!F94,Referencias!F94)</f>
        <v>29161.001534597701</v>
      </c>
      <c r="G95" s="28">
        <f>+IF('Datos Generales'!$K$11="Moneda local",'Datos Generales'!$K$13*IF('Datos Generales'!$K$15&gt;1,'Datos Generales'!$K$15,1)*Referencias!G94,Referencias!G94)</f>
        <v>320</v>
      </c>
      <c r="H95" s="28"/>
    </row>
    <row r="96" spans="1:8" x14ac:dyDescent="0.25">
      <c r="A96">
        <v>20</v>
      </c>
      <c r="B96" s="2" t="s">
        <v>239</v>
      </c>
      <c r="C96" s="26">
        <v>0.01</v>
      </c>
      <c r="D96" s="26">
        <v>0.01</v>
      </c>
      <c r="E96" s="26">
        <v>0.01</v>
      </c>
      <c r="F96" s="26">
        <f>+D96</f>
        <v>0.01</v>
      </c>
    </row>
    <row r="97" spans="1:19" x14ac:dyDescent="0.25">
      <c r="A97" s="27">
        <v>21</v>
      </c>
      <c r="B97" s="28" t="s">
        <v>238</v>
      </c>
      <c r="C97" s="30">
        <v>0.08</v>
      </c>
      <c r="D97" s="30">
        <v>0.08</v>
      </c>
      <c r="E97" s="30">
        <v>0.02</v>
      </c>
      <c r="F97" s="30">
        <f>+D97</f>
        <v>0.08</v>
      </c>
      <c r="G97" s="27"/>
      <c r="H97" s="27"/>
    </row>
    <row r="98" spans="1:19" x14ac:dyDescent="0.25">
      <c r="A98">
        <v>14</v>
      </c>
      <c r="B98" s="2" t="s">
        <v>270</v>
      </c>
      <c r="C98">
        <v>0.3</v>
      </c>
      <c r="D98">
        <v>0.48</v>
      </c>
    </row>
    <row r="99" spans="1:19" x14ac:dyDescent="0.25">
      <c r="A99" s="27">
        <v>15</v>
      </c>
      <c r="B99" s="28" t="s">
        <v>271</v>
      </c>
      <c r="C99" s="28">
        <f>+C98/C89</f>
        <v>0.14285714285714285</v>
      </c>
      <c r="D99" s="28">
        <f>+D98/D89</f>
        <v>0.14285714285714285</v>
      </c>
      <c r="E99" s="28"/>
      <c r="F99" s="28"/>
      <c r="G99" s="28"/>
      <c r="H99" s="28"/>
    </row>
    <row r="100" spans="1:19" x14ac:dyDescent="0.25">
      <c r="C100" s="29"/>
    </row>
    <row r="103" spans="1:19" x14ac:dyDescent="0.25">
      <c r="B103" s="27" t="s">
        <v>233</v>
      </c>
      <c r="C103" s="27"/>
    </row>
    <row r="104" spans="1:19" x14ac:dyDescent="0.25">
      <c r="B104" s="27" t="s">
        <v>98</v>
      </c>
      <c r="C104" s="27">
        <v>26</v>
      </c>
    </row>
    <row r="105" spans="1:19" x14ac:dyDescent="0.25">
      <c r="B105" s="27" t="s">
        <v>99</v>
      </c>
      <c r="C105" s="27">
        <v>2</v>
      </c>
    </row>
    <row r="106" spans="1:19" x14ac:dyDescent="0.25">
      <c r="B106" s="27" t="s">
        <v>100</v>
      </c>
      <c r="C106" s="27">
        <v>8</v>
      </c>
    </row>
    <row r="107" spans="1:19" x14ac:dyDescent="0.25">
      <c r="B107" s="27" t="s">
        <v>101</v>
      </c>
      <c r="C107" s="27">
        <v>1</v>
      </c>
    </row>
    <row r="112" spans="1:19" s="54" customFormat="1" ht="23.25" x14ac:dyDescent="0.35">
      <c r="B112" s="55" t="s">
        <v>304</v>
      </c>
      <c r="C112" s="55"/>
      <c r="D112" s="55"/>
      <c r="E112" s="55"/>
      <c r="F112" s="55"/>
      <c r="G112" s="55"/>
      <c r="H112" s="55"/>
      <c r="I112" s="55"/>
      <c r="J112" s="55"/>
      <c r="K112" s="55"/>
      <c r="L112" s="55"/>
      <c r="M112" s="55"/>
      <c r="N112" s="55"/>
      <c r="O112" s="55"/>
      <c r="P112" s="55"/>
      <c r="Q112" s="55"/>
      <c r="R112" s="55"/>
      <c r="S112" s="55"/>
    </row>
    <row r="114" spans="1:8" x14ac:dyDescent="0.25">
      <c r="B114" s="27" t="s">
        <v>325</v>
      </c>
      <c r="C114" s="27">
        <f>+IF('Datos Generales'!$K$15&gt;1,'Datos Generales'!$K$15,1)</f>
        <v>1</v>
      </c>
    </row>
    <row r="116" spans="1:8" x14ac:dyDescent="0.25">
      <c r="G116" s="13" t="s">
        <v>86</v>
      </c>
      <c r="H116" s="13" t="s">
        <v>711</v>
      </c>
    </row>
    <row r="117" spans="1:8" x14ac:dyDescent="0.25">
      <c r="B117" s="13" t="s">
        <v>707</v>
      </c>
      <c r="C117" s="53" t="e">
        <f>tmescen/12</f>
        <v>#DIV/0!</v>
      </c>
      <c r="D117" s="13" t="s">
        <v>715</v>
      </c>
      <c r="E117" s="4">
        <f>+IF('Datos Recicladores'!O159="",'Datos Recicladores'!P159,'Datos Recicladores'!O159)</f>
        <v>1</v>
      </c>
      <c r="G117" s="4" t="s">
        <v>712</v>
      </c>
      <c r="H117" s="53">
        <v>0</v>
      </c>
    </row>
    <row r="118" spans="1:8" x14ac:dyDescent="0.25">
      <c r="B118" s="13" t="s">
        <v>708</v>
      </c>
      <c r="C118" s="53" t="e">
        <f>+C117/26</f>
        <v>#DIV/0!</v>
      </c>
      <c r="D118" s="13" t="s">
        <v>717</v>
      </c>
      <c r="E118" s="611">
        <f>+IF(OR('C.Recicladores'!C11='C.Recicladores'!C9,'C.Recicladores'!C11='C.Recicladores'!C8),5%,10%)</f>
        <v>0.05</v>
      </c>
      <c r="G118" s="4" t="s">
        <v>713</v>
      </c>
      <c r="H118" s="53">
        <v>1500</v>
      </c>
    </row>
    <row r="119" spans="1:8" x14ac:dyDescent="0.25">
      <c r="B119" s="13" t="s">
        <v>709</v>
      </c>
      <c r="C119" s="53" t="e">
        <f>+C118/(IF('Datos Recicladores'!O159="",'Datos Recicladores'!P159,'Datos Recicladores'!O159)*IF('Datos Recicladores'!O160="",'Datos Recicladores'!P160,'Datos Recicladores'!O160))</f>
        <v>#DIV/0!</v>
      </c>
      <c r="D119" s="13" t="s">
        <v>718</v>
      </c>
      <c r="E119" s="612">
        <v>0.3</v>
      </c>
      <c r="G119" s="4" t="s">
        <v>714</v>
      </c>
      <c r="H119" s="53">
        <v>40000</v>
      </c>
    </row>
    <row r="120" spans="1:8" x14ac:dyDescent="0.25">
      <c r="B120" t="s">
        <v>307</v>
      </c>
      <c r="C120" s="3" t="s">
        <v>329</v>
      </c>
      <c r="D120" s="3" t="s">
        <v>331</v>
      </c>
      <c r="E120" s="3" t="s">
        <v>336</v>
      </c>
    </row>
    <row r="121" spans="1:8" x14ac:dyDescent="0.25">
      <c r="A121">
        <v>2</v>
      </c>
      <c r="B121" s="607" t="s">
        <v>710</v>
      </c>
      <c r="C121" s="607">
        <v>33.799999999999997</v>
      </c>
      <c r="D121" s="607">
        <f>6.9141*1+215.89</f>
        <v>222.80409999999998</v>
      </c>
      <c r="E121" s="607">
        <f>6.0661*1+317.1</f>
        <v>323.16610000000003</v>
      </c>
    </row>
    <row r="122" spans="1:8" x14ac:dyDescent="0.25">
      <c r="A122">
        <v>3</v>
      </c>
      <c r="B122" s="2" t="s">
        <v>310</v>
      </c>
      <c r="C122" s="2">
        <v>0.25</v>
      </c>
      <c r="D122" s="2">
        <v>0.25</v>
      </c>
      <c r="E122" s="2">
        <v>0.5</v>
      </c>
    </row>
    <row r="123" spans="1:8" x14ac:dyDescent="0.25">
      <c r="A123">
        <v>4</v>
      </c>
      <c r="B123" s="28" t="s">
        <v>308</v>
      </c>
      <c r="C123" s="28">
        <v>0.05</v>
      </c>
      <c r="D123" s="28">
        <v>0.1</v>
      </c>
      <c r="E123" s="28">
        <v>0.3</v>
      </c>
    </row>
    <row r="124" spans="1:8" x14ac:dyDescent="0.25">
      <c r="A124">
        <v>5</v>
      </c>
      <c r="B124" s="603" t="s">
        <v>309</v>
      </c>
      <c r="C124" s="603" t="e">
        <f>+IF('Datos Recicladores'!G204&gt;0,2.43,0.22)+SUM('C.Recicladores'!F112:F115)/'C.Recicladores'!C114</f>
        <v>#DIV/0!</v>
      </c>
      <c r="D124" s="603">
        <f>+IF(OR('Datos Recicladores'!G204="",'Datos Recicladores'!G204&gt;0),2.43,0)+IF(SUM('Datos Recicladores'!G206:G209)&gt;0,SUM('Datos Recicladores'!G206:G209),0)</f>
        <v>2.4300000000000002</v>
      </c>
      <c r="E124" s="603" t="e">
        <f>+D124+SUM('C.Recicladores'!F112:F115)/'C.Recicladores'!C114</f>
        <v>#DIV/0!</v>
      </c>
      <c r="H124" s="618"/>
    </row>
    <row r="125" spans="1:8" x14ac:dyDescent="0.25">
      <c r="A125">
        <v>6</v>
      </c>
      <c r="B125" s="28" t="s">
        <v>312</v>
      </c>
      <c r="C125" s="28">
        <v>4.05</v>
      </c>
      <c r="D125" s="28"/>
      <c r="E125" s="28">
        <v>4.05</v>
      </c>
    </row>
    <row r="126" spans="1:8" x14ac:dyDescent="0.25">
      <c r="A126">
        <v>7</v>
      </c>
      <c r="B126" s="56" t="s">
        <v>64</v>
      </c>
      <c r="C126" s="28">
        <f>+C125*'Datos Generales'!$K$13</f>
        <v>0</v>
      </c>
      <c r="D126" s="28">
        <f>+D125*'Datos Generales'!$K$13*IF('Datos Generales'!$K$15="",1,'Datos Generales'!$K$15)</f>
        <v>0</v>
      </c>
      <c r="E126" s="28">
        <f>+E125*'Datos Generales'!$K$13*IF('Datos Generales'!$K$15="",1,'Datos Generales'!$K$15)</f>
        <v>0</v>
      </c>
    </row>
    <row r="127" spans="1:8" x14ac:dyDescent="0.25">
      <c r="A127">
        <v>8</v>
      </c>
      <c r="B127" s="2" t="s">
        <v>205</v>
      </c>
      <c r="C127" s="57">
        <v>0.02</v>
      </c>
      <c r="D127" s="57">
        <v>0.02</v>
      </c>
      <c r="E127" s="57">
        <v>0.02</v>
      </c>
    </row>
    <row r="128" spans="1:8" x14ac:dyDescent="0.25">
      <c r="A128">
        <v>9</v>
      </c>
      <c r="B128" s="28" t="s">
        <v>313</v>
      </c>
      <c r="C128" s="27">
        <f>(1.82*C114)</f>
        <v>1.82</v>
      </c>
      <c r="D128" s="27">
        <f>1.82*(+IF('Datos Generales'!$K$15&gt;1,'Datos Generales'!$K$15,1))</f>
        <v>1.82</v>
      </c>
      <c r="E128" s="27">
        <f>1.82*(+IF('Datos Generales'!$K$15&gt;1,'Datos Generales'!$K$15,1))</f>
        <v>1.82</v>
      </c>
    </row>
    <row r="129" spans="1:18" x14ac:dyDescent="0.25">
      <c r="A129">
        <v>10</v>
      </c>
      <c r="B129" s="56" t="s">
        <v>64</v>
      </c>
      <c r="C129" s="28">
        <f>+C128*'Datos Generales'!$K$13</f>
        <v>0</v>
      </c>
      <c r="D129" s="28">
        <f>+D128*'Datos Generales'!$K$13</f>
        <v>0</v>
      </c>
      <c r="E129" s="28">
        <f>+E128*'Datos Generales'!$K$13</f>
        <v>0</v>
      </c>
      <c r="I129" s="29"/>
    </row>
    <row r="130" spans="1:18" x14ac:dyDescent="0.25">
      <c r="A130">
        <v>11</v>
      </c>
      <c r="B130" s="2" t="s">
        <v>201</v>
      </c>
      <c r="C130" s="57">
        <v>0.05</v>
      </c>
      <c r="D130" s="57">
        <v>0.05</v>
      </c>
      <c r="E130" s="57">
        <v>0.05</v>
      </c>
      <c r="G130" s="29"/>
    </row>
    <row r="131" spans="1:18" x14ac:dyDescent="0.25">
      <c r="A131">
        <v>12</v>
      </c>
      <c r="B131" s="28" t="s">
        <v>202</v>
      </c>
      <c r="C131" s="58">
        <v>0.02</v>
      </c>
      <c r="D131" s="58">
        <v>0.02</v>
      </c>
      <c r="E131" s="58">
        <v>0.02</v>
      </c>
    </row>
    <row r="132" spans="1:18" x14ac:dyDescent="0.25">
      <c r="A132">
        <v>13</v>
      </c>
      <c r="B132" s="2" t="s">
        <v>311</v>
      </c>
      <c r="C132" s="57">
        <v>0.14000000000000001</v>
      </c>
      <c r="D132" s="57">
        <v>0.14000000000000001</v>
      </c>
      <c r="E132" s="57">
        <v>0.14000000000000001</v>
      </c>
    </row>
    <row r="133" spans="1:18" x14ac:dyDescent="0.25">
      <c r="A133">
        <v>14</v>
      </c>
      <c r="B133" t="s">
        <v>356</v>
      </c>
      <c r="C133">
        <v>1</v>
      </c>
      <c r="D133">
        <v>1</v>
      </c>
      <c r="E133">
        <v>1</v>
      </c>
    </row>
    <row r="135" spans="1:18" x14ac:dyDescent="0.25">
      <c r="C135" s="903" t="s">
        <v>306</v>
      </c>
      <c r="D135" s="904"/>
      <c r="E135" s="904"/>
      <c r="F135" s="904"/>
      <c r="G135" s="905"/>
      <c r="H135" s="903" t="s">
        <v>323</v>
      </c>
      <c r="I135" s="904"/>
      <c r="J135" s="904"/>
      <c r="K135" s="904"/>
      <c r="L135" s="905"/>
      <c r="M135" s="903" t="s">
        <v>324</v>
      </c>
      <c r="N135" s="904"/>
      <c r="O135" s="904"/>
      <c r="P135" s="904"/>
      <c r="Q135" s="905"/>
      <c r="R135" s="59"/>
    </row>
    <row r="136" spans="1:18" x14ac:dyDescent="0.25">
      <c r="C136" s="9" t="s">
        <v>329</v>
      </c>
      <c r="D136" s="9" t="s">
        <v>327</v>
      </c>
      <c r="E136" s="9" t="s">
        <v>328</v>
      </c>
      <c r="F136" s="9" t="s">
        <v>326</v>
      </c>
      <c r="G136" s="9" t="s">
        <v>330</v>
      </c>
      <c r="H136" s="9" t="s">
        <v>331</v>
      </c>
      <c r="I136" s="9" t="s">
        <v>332</v>
      </c>
      <c r="J136" s="9" t="s">
        <v>333</v>
      </c>
      <c r="K136" s="9" t="s">
        <v>334</v>
      </c>
      <c r="L136" s="9" t="s">
        <v>335</v>
      </c>
      <c r="M136" s="9" t="s">
        <v>336</v>
      </c>
      <c r="N136" s="9" t="s">
        <v>337</v>
      </c>
      <c r="O136" s="9" t="s">
        <v>338</v>
      </c>
      <c r="P136" s="9" t="s">
        <v>339</v>
      </c>
      <c r="Q136" s="9" t="s">
        <v>340</v>
      </c>
      <c r="R136" s="3"/>
    </row>
    <row r="137" spans="1:18" x14ac:dyDescent="0.25">
      <c r="A137">
        <v>2</v>
      </c>
      <c r="B137" s="603" t="s">
        <v>315</v>
      </c>
      <c r="C137" s="604">
        <v>1</v>
      </c>
      <c r="D137" s="605">
        <f>1200*(+IF('Datos Generales'!$K$15&gt;1,'Datos Generales'!$K$15,1))</f>
        <v>1200</v>
      </c>
      <c r="E137" s="605">
        <f>+D137*C137</f>
        <v>1200</v>
      </c>
      <c r="F137" s="605">
        <f>+D137*'Datos Generales'!$K$13</f>
        <v>0</v>
      </c>
      <c r="G137" s="606">
        <f>+F137*C137</f>
        <v>0</v>
      </c>
      <c r="H137" s="604">
        <v>1</v>
      </c>
      <c r="I137" s="605">
        <f>5000*(+IF('Datos Generales'!$K$15&gt;1,'Datos Generales'!$K$15,1))</f>
        <v>5000</v>
      </c>
      <c r="J137" s="605">
        <f>+I137*H137</f>
        <v>5000</v>
      </c>
      <c r="K137" s="605">
        <f>+I137*'Datos Generales'!$K$13</f>
        <v>0</v>
      </c>
      <c r="L137" s="606">
        <f>+K137*H137</f>
        <v>0</v>
      </c>
      <c r="M137" s="604">
        <f>+H137</f>
        <v>1</v>
      </c>
      <c r="N137" s="605">
        <v>0</v>
      </c>
      <c r="O137" s="605">
        <f>+N137*M137</f>
        <v>0</v>
      </c>
      <c r="P137" s="605">
        <f>+N137*'Datos Generales'!$K$13</f>
        <v>0</v>
      </c>
      <c r="Q137" s="606">
        <f>+P137*M137</f>
        <v>0</v>
      </c>
      <c r="R137" s="3"/>
    </row>
    <row r="138" spans="1:18" x14ac:dyDescent="0.25">
      <c r="A138">
        <v>3</v>
      </c>
      <c r="B138" s="596" t="s">
        <v>168</v>
      </c>
      <c r="C138" s="597"/>
      <c r="D138" s="597"/>
      <c r="E138" s="597"/>
      <c r="F138" s="597"/>
      <c r="G138" s="597"/>
      <c r="H138" s="597"/>
      <c r="I138" s="597"/>
      <c r="J138" s="597"/>
      <c r="K138" s="597"/>
      <c r="L138" s="597"/>
      <c r="M138" s="601">
        <f t="shared" ref="M138:M164" si="1">+H138</f>
        <v>0</v>
      </c>
      <c r="N138" s="597"/>
      <c r="O138" s="597"/>
      <c r="P138" s="597"/>
      <c r="Q138" s="598"/>
      <c r="R138" s="3"/>
    </row>
    <row r="139" spans="1:18" x14ac:dyDescent="0.25">
      <c r="A139">
        <v>4</v>
      </c>
      <c r="B139" s="607" t="s">
        <v>316</v>
      </c>
      <c r="C139" s="608" t="e">
        <f>9+C140*0.1</f>
        <v>#DIV/0!</v>
      </c>
      <c r="D139" s="609">
        <f>3.64512519182471*(+IF('Datos Generales'!$K$15&gt;1,'Datos Generales'!$K$15,1))</f>
        <v>3.6451251918247101</v>
      </c>
      <c r="E139" s="609" t="e">
        <f t="shared" ref="E139:E163" si="2">+D139*C139</f>
        <v>#DIV/0!</v>
      </c>
      <c r="F139" s="609">
        <f>+D139*'Datos Generales'!$K$13</f>
        <v>0</v>
      </c>
      <c r="G139" s="610" t="e">
        <f t="shared" ref="G139:G163" si="3">+F139*C139</f>
        <v>#DIV/0!</v>
      </c>
      <c r="H139" s="608" t="e">
        <f>16+H140*0.03</f>
        <v>#DIV/0!</v>
      </c>
      <c r="I139" s="609">
        <f>3.64512519182471*(+IF('Datos Generales'!$K$15&gt;1,'Datos Generales'!$K$15,1))</f>
        <v>3.6451251918247101</v>
      </c>
      <c r="J139" s="609" t="e">
        <f t="shared" ref="J139:J163" si="4">+I139*H139</f>
        <v>#DIV/0!</v>
      </c>
      <c r="K139" s="609">
        <f>+I139*'Datos Generales'!$K$13</f>
        <v>0</v>
      </c>
      <c r="L139" s="610" t="e">
        <f t="shared" ref="L139:L163" si="5">+K139*H139</f>
        <v>#DIV/0!</v>
      </c>
      <c r="M139" s="608" t="e">
        <f t="shared" si="1"/>
        <v>#DIV/0!</v>
      </c>
      <c r="N139" s="609">
        <v>3.6451251918247132</v>
      </c>
      <c r="O139" s="609" t="e">
        <f t="shared" ref="O139:O163" si="6">+N139*M139</f>
        <v>#DIV/0!</v>
      </c>
      <c r="P139" s="609">
        <f>+N139*'Datos Generales'!$K$13</f>
        <v>0</v>
      </c>
      <c r="Q139" s="610" t="e">
        <f t="shared" ref="Q139:Q163" si="7">+P139*M139</f>
        <v>#DIV/0!</v>
      </c>
      <c r="R139" s="3"/>
    </row>
    <row r="140" spans="1:18" x14ac:dyDescent="0.25">
      <c r="A140">
        <v>5</v>
      </c>
      <c r="B140" s="603" t="s">
        <v>171</v>
      </c>
      <c r="C140" s="604" t="e">
        <f>C121*C117</f>
        <v>#DIV/0!</v>
      </c>
      <c r="D140" s="605">
        <f>4.00963771100718*(+IF('Datos Generales'!$K$15&gt;1,'Datos Generales'!$K$15,1))</f>
        <v>4.0096377110071799</v>
      </c>
      <c r="E140" s="605" t="e">
        <f t="shared" si="2"/>
        <v>#DIV/0!</v>
      </c>
      <c r="F140" s="605">
        <f>+D140*'Datos Generales'!$K$13</f>
        <v>0</v>
      </c>
      <c r="G140" s="606" t="e">
        <f t="shared" si="3"/>
        <v>#DIV/0!</v>
      </c>
      <c r="H140" s="604" t="e">
        <f>6.9141*C118+215.89</f>
        <v>#DIV/0!</v>
      </c>
      <c r="I140" s="605">
        <f>4.00963771100718*(+IF('Datos Generales'!$K$15&gt;1,'Datos Generales'!$K$15,1))</f>
        <v>4.0096377110071799</v>
      </c>
      <c r="J140" s="605" t="e">
        <f t="shared" si="4"/>
        <v>#DIV/0!</v>
      </c>
      <c r="K140" s="605">
        <f>+I140*'Datos Generales'!$K$13</f>
        <v>0</v>
      </c>
      <c r="L140" s="606" t="e">
        <f t="shared" si="5"/>
        <v>#DIV/0!</v>
      </c>
      <c r="M140" s="604" t="e">
        <f t="shared" si="1"/>
        <v>#DIV/0!</v>
      </c>
      <c r="N140" s="605">
        <v>4.0096377110071844</v>
      </c>
      <c r="O140" s="605" t="e">
        <f t="shared" si="6"/>
        <v>#DIV/0!</v>
      </c>
      <c r="P140" s="605">
        <f>+N140*'Datos Generales'!$K$13</f>
        <v>0</v>
      </c>
      <c r="Q140" s="606" t="e">
        <f t="shared" si="7"/>
        <v>#DIV/0!</v>
      </c>
      <c r="R140" s="3"/>
    </row>
    <row r="141" spans="1:18" x14ac:dyDescent="0.25">
      <c r="A141">
        <v>6</v>
      </c>
      <c r="B141" s="596" t="s">
        <v>317</v>
      </c>
      <c r="C141" s="597"/>
      <c r="D141" s="597">
        <f>0*(+IF('Datos Generales'!$K$15&gt;1,'Datos Generales'!$K$15,1))</f>
        <v>0</v>
      </c>
      <c r="E141" s="597">
        <f t="shared" si="2"/>
        <v>0</v>
      </c>
      <c r="F141" s="597">
        <f>+D141*'Datos Generales'!$K$13</f>
        <v>0</v>
      </c>
      <c r="G141" s="597">
        <f t="shared" si="3"/>
        <v>0</v>
      </c>
      <c r="H141" s="597"/>
      <c r="I141" s="597">
        <f>0*(+IF('Datos Generales'!$K$15&gt;1,'Datos Generales'!$K$15,1))</f>
        <v>0</v>
      </c>
      <c r="J141" s="597">
        <f t="shared" si="4"/>
        <v>0</v>
      </c>
      <c r="K141" s="597">
        <f>+I141*'Datos Generales'!$K$13</f>
        <v>0</v>
      </c>
      <c r="L141" s="597">
        <f t="shared" si="5"/>
        <v>0</v>
      </c>
      <c r="M141" s="601">
        <f t="shared" si="1"/>
        <v>0</v>
      </c>
      <c r="N141" s="597"/>
      <c r="O141" s="597">
        <f t="shared" si="6"/>
        <v>0</v>
      </c>
      <c r="P141" s="597">
        <f>+N141*'Datos Generales'!$K$13</f>
        <v>0</v>
      </c>
      <c r="Q141" s="598">
        <f t="shared" si="7"/>
        <v>0</v>
      </c>
      <c r="R141" s="3"/>
    </row>
    <row r="142" spans="1:18" x14ac:dyDescent="0.25">
      <c r="A142">
        <v>7</v>
      </c>
      <c r="B142" s="607" t="s">
        <v>173</v>
      </c>
      <c r="C142" s="608">
        <v>0</v>
      </c>
      <c r="D142" s="609">
        <f>21870.7511509483*(+IF('Datos Generales'!$K$15&gt;1,'Datos Generales'!$K$15,1))</f>
        <v>21870.751150948301</v>
      </c>
      <c r="E142" s="609">
        <f t="shared" si="2"/>
        <v>0</v>
      </c>
      <c r="F142" s="609">
        <f>+D142*'Datos Generales'!$K$13</f>
        <v>0</v>
      </c>
      <c r="G142" s="610">
        <f t="shared" si="3"/>
        <v>0</v>
      </c>
      <c r="H142" s="608">
        <f>+IF('Datos Recicladores'!G149&gt;Referencias!H119,2,1)</f>
        <v>1</v>
      </c>
      <c r="I142" s="609">
        <f>21870.7511509483*(+IF('Datos Generales'!$K$15&gt;1,'Datos Generales'!$K$15,1))</f>
        <v>21870.751150948301</v>
      </c>
      <c r="J142" s="609">
        <f t="shared" si="4"/>
        <v>21870.751150948301</v>
      </c>
      <c r="K142" s="609">
        <f>+I142*'Datos Generales'!$K$13</f>
        <v>0</v>
      </c>
      <c r="L142" s="610">
        <f t="shared" si="5"/>
        <v>0</v>
      </c>
      <c r="M142" s="608">
        <f t="shared" si="1"/>
        <v>1</v>
      </c>
      <c r="N142" s="609">
        <v>21870.751150948279</v>
      </c>
      <c r="O142" s="609">
        <f t="shared" si="6"/>
        <v>21870.751150948279</v>
      </c>
      <c r="P142" s="609">
        <f>+N142*'Datos Generales'!$K$13</f>
        <v>0</v>
      </c>
      <c r="Q142" s="610">
        <f t="shared" si="7"/>
        <v>0</v>
      </c>
      <c r="R142" s="3"/>
    </row>
    <row r="143" spans="1:18" x14ac:dyDescent="0.25">
      <c r="A143">
        <v>8</v>
      </c>
      <c r="B143" s="603" t="s">
        <v>175</v>
      </c>
      <c r="C143" s="604" t="e">
        <f>+ROUNDUP((C118/E117)/3,0)</f>
        <v>#DIV/0!</v>
      </c>
      <c r="D143" s="605">
        <f>164.030633632112*(+IF('Datos Generales'!$K$15&gt;1,'Datos Generales'!$K$15,1))</f>
        <v>164.030633632112</v>
      </c>
      <c r="E143" s="605" t="e">
        <f t="shared" si="2"/>
        <v>#DIV/0!</v>
      </c>
      <c r="F143" s="605">
        <f>+D143*'Datos Generales'!$K$13</f>
        <v>0</v>
      </c>
      <c r="G143" s="606" t="e">
        <f t="shared" si="3"/>
        <v>#DIV/0!</v>
      </c>
      <c r="H143" s="604" t="e">
        <f>+ROUNDUP((C118/E117)/10,0)</f>
        <v>#DIV/0!</v>
      </c>
      <c r="I143" s="605">
        <f>164.030633632112*(+IF('Datos Generales'!$K$15&gt;1,'Datos Generales'!$K$15,1))</f>
        <v>164.030633632112</v>
      </c>
      <c r="J143" s="605" t="e">
        <f t="shared" si="4"/>
        <v>#DIV/0!</v>
      </c>
      <c r="K143" s="605">
        <f>+I143*'Datos Generales'!$K$13</f>
        <v>0</v>
      </c>
      <c r="L143" s="606" t="e">
        <f t="shared" si="5"/>
        <v>#DIV/0!</v>
      </c>
      <c r="M143" s="604" t="e">
        <f t="shared" si="1"/>
        <v>#DIV/0!</v>
      </c>
      <c r="N143" s="605">
        <v>164.03063363211211</v>
      </c>
      <c r="O143" s="605" t="e">
        <f t="shared" si="6"/>
        <v>#DIV/0!</v>
      </c>
      <c r="P143" s="605">
        <f>+N143*'Datos Generales'!$K$13</f>
        <v>0</v>
      </c>
      <c r="Q143" s="606" t="e">
        <f t="shared" si="7"/>
        <v>#DIV/0!</v>
      </c>
      <c r="R143" s="3"/>
    </row>
    <row r="144" spans="1:18" x14ac:dyDescent="0.25">
      <c r="A144">
        <v>9</v>
      </c>
      <c r="B144" s="607" t="s">
        <v>176</v>
      </c>
      <c r="C144" s="608">
        <v>0</v>
      </c>
      <c r="D144" s="609">
        <f>7654.7629028319*(+IF('Datos Generales'!$K$15&gt;1,'Datos Generales'!$K$15,1))</f>
        <v>7654.7629028318997</v>
      </c>
      <c r="E144" s="609">
        <f t="shared" si="2"/>
        <v>0</v>
      </c>
      <c r="F144" s="609">
        <f>+D144*'Datos Generales'!$K$13</f>
        <v>0</v>
      </c>
      <c r="G144" s="610">
        <f t="shared" si="3"/>
        <v>0</v>
      </c>
      <c r="H144" s="608" t="e">
        <f>+ROUNDUP((C118/E117)/75,0)</f>
        <v>#DIV/0!</v>
      </c>
      <c r="I144" s="609">
        <f>7654.7629028319*(+IF('Datos Generales'!$K$15&gt;1,'Datos Generales'!$K$15,1))</f>
        <v>7654.7629028318997</v>
      </c>
      <c r="J144" s="609" t="e">
        <f t="shared" si="4"/>
        <v>#DIV/0!</v>
      </c>
      <c r="K144" s="609">
        <f>+I144*'Datos Generales'!$K$13</f>
        <v>0</v>
      </c>
      <c r="L144" s="610" t="e">
        <f t="shared" si="5"/>
        <v>#DIV/0!</v>
      </c>
      <c r="M144" s="608" t="e">
        <f t="shared" si="1"/>
        <v>#DIV/0!</v>
      </c>
      <c r="N144" s="609">
        <v>7654.7629028318979</v>
      </c>
      <c r="O144" s="609" t="e">
        <f t="shared" si="6"/>
        <v>#DIV/0!</v>
      </c>
      <c r="P144" s="609">
        <f>+N144*'Datos Generales'!$K$13</f>
        <v>0</v>
      </c>
      <c r="Q144" s="610" t="e">
        <f t="shared" si="7"/>
        <v>#DIV/0!</v>
      </c>
      <c r="R144" s="3"/>
    </row>
    <row r="145" spans="1:18" x14ac:dyDescent="0.25">
      <c r="A145">
        <v>10</v>
      </c>
      <c r="B145" s="603" t="s">
        <v>716</v>
      </c>
      <c r="C145" s="604" t="e">
        <f>+ROUNDUP((C118*E118*3)/(12*0.4),0)</f>
        <v>#DIV/0!</v>
      </c>
      <c r="D145" s="605">
        <f>473.866274937213*(+IF('Datos Generales'!$K$15&gt;1,'Datos Generales'!$K$15,1))</f>
        <v>473.86627493721301</v>
      </c>
      <c r="E145" s="605" t="e">
        <f t="shared" si="2"/>
        <v>#DIV/0!</v>
      </c>
      <c r="F145" s="605">
        <f>+D145*'Datos Generales'!$K$13</f>
        <v>0</v>
      </c>
      <c r="G145" s="606" t="e">
        <f t="shared" si="3"/>
        <v>#DIV/0!</v>
      </c>
      <c r="H145" s="604" t="e">
        <f>+ROUNDUP((C118*E118*3)/(12*0.4),0)</f>
        <v>#DIV/0!</v>
      </c>
      <c r="I145" s="605">
        <f>473.866274937213*(+IF('Datos Generales'!$K$15&gt;1,'Datos Generales'!$K$15,1))</f>
        <v>473.86627493721301</v>
      </c>
      <c r="J145" s="605" t="e">
        <f t="shared" si="4"/>
        <v>#DIV/0!</v>
      </c>
      <c r="K145" s="605">
        <f>+I145*'Datos Generales'!$K$13</f>
        <v>0</v>
      </c>
      <c r="L145" s="606" t="e">
        <f t="shared" si="5"/>
        <v>#DIV/0!</v>
      </c>
      <c r="M145" s="604" t="e">
        <f t="shared" si="1"/>
        <v>#DIV/0!</v>
      </c>
      <c r="N145" s="605">
        <v>473.86627493721272</v>
      </c>
      <c r="O145" s="605" t="e">
        <f t="shared" si="6"/>
        <v>#DIV/0!</v>
      </c>
      <c r="P145" s="605">
        <f>+N145*'Datos Generales'!$K$13</f>
        <v>0</v>
      </c>
      <c r="Q145" s="606" t="e">
        <f t="shared" si="7"/>
        <v>#DIV/0!</v>
      </c>
      <c r="R145" s="3"/>
    </row>
    <row r="146" spans="1:18" x14ac:dyDescent="0.25">
      <c r="A146">
        <v>11</v>
      </c>
      <c r="B146" s="607" t="s">
        <v>178</v>
      </c>
      <c r="C146" s="608" t="e">
        <f>ROUNDUP((C117*2%/4)/0.5,0)</f>
        <v>#DIV/0!</v>
      </c>
      <c r="D146" s="609">
        <f>182.256259591236*(+IF('Datos Generales'!$K$15&gt;1,'Datos Generales'!$K$15,1))</f>
        <v>182.25625959123599</v>
      </c>
      <c r="E146" s="609" t="e">
        <f t="shared" si="2"/>
        <v>#DIV/0!</v>
      </c>
      <c r="F146" s="609">
        <f>+D146*'Datos Generales'!$K$13</f>
        <v>0</v>
      </c>
      <c r="G146" s="610" t="e">
        <f t="shared" si="3"/>
        <v>#DIV/0!</v>
      </c>
      <c r="H146" s="608" t="e">
        <f>ROUNDUP((C117*2%/4)/0.5,0)</f>
        <v>#DIV/0!</v>
      </c>
      <c r="I146" s="609">
        <f>182.256259591236*(+IF('Datos Generales'!$K$15&gt;1,'Datos Generales'!$K$15,1))</f>
        <v>182.25625959123599</v>
      </c>
      <c r="J146" s="609" t="e">
        <f t="shared" si="4"/>
        <v>#DIV/0!</v>
      </c>
      <c r="K146" s="609">
        <f>+I146*'Datos Generales'!$K$13</f>
        <v>0</v>
      </c>
      <c r="L146" s="610" t="e">
        <f t="shared" si="5"/>
        <v>#DIV/0!</v>
      </c>
      <c r="M146" s="608" t="e">
        <f t="shared" si="1"/>
        <v>#DIV/0!</v>
      </c>
      <c r="N146" s="609">
        <v>182.25625959123568</v>
      </c>
      <c r="O146" s="609" t="e">
        <f t="shared" si="6"/>
        <v>#DIV/0!</v>
      </c>
      <c r="P146" s="609">
        <f>+N146*'Datos Generales'!$K$13</f>
        <v>0</v>
      </c>
      <c r="Q146" s="610" t="e">
        <f t="shared" si="7"/>
        <v>#DIV/0!</v>
      </c>
      <c r="R146" s="3"/>
    </row>
    <row r="147" spans="1:18" x14ac:dyDescent="0.25">
      <c r="A147">
        <v>12</v>
      </c>
      <c r="B147" s="603" t="s">
        <v>179</v>
      </c>
      <c r="C147" s="604">
        <v>0</v>
      </c>
      <c r="D147" s="605">
        <f>1093.53755754741*(+IF('Datos Generales'!$K$15&gt;1,'Datos Generales'!$K$15,1))</f>
        <v>1093.53755754741</v>
      </c>
      <c r="E147" s="605">
        <f t="shared" si="2"/>
        <v>0</v>
      </c>
      <c r="F147" s="605">
        <f>+D147*'Datos Generales'!$K$13</f>
        <v>0</v>
      </c>
      <c r="G147" s="606">
        <f t="shared" si="3"/>
        <v>0</v>
      </c>
      <c r="H147" s="604" t="e">
        <f>(6+0.9*D167)/H144</f>
        <v>#DIV/0!</v>
      </c>
      <c r="I147" s="605">
        <f>1093.53755754741*(+IF('Datos Generales'!$K$15&gt;1,'Datos Generales'!$K$15,1))</f>
        <v>1093.53755754741</v>
      </c>
      <c r="J147" s="605" t="e">
        <f t="shared" si="4"/>
        <v>#DIV/0!</v>
      </c>
      <c r="K147" s="605">
        <f>+I147*'Datos Generales'!$K$13</f>
        <v>0</v>
      </c>
      <c r="L147" s="606" t="e">
        <f t="shared" si="5"/>
        <v>#DIV/0!</v>
      </c>
      <c r="M147" s="604" t="e">
        <f t="shared" si="1"/>
        <v>#DIV/0!</v>
      </c>
      <c r="N147" s="605">
        <v>1093.5375575474141</v>
      </c>
      <c r="O147" s="605" t="e">
        <f t="shared" si="6"/>
        <v>#DIV/0!</v>
      </c>
      <c r="P147" s="605">
        <f>+N147*'Datos Generales'!$K$13</f>
        <v>0</v>
      </c>
      <c r="Q147" s="606" t="e">
        <f t="shared" si="7"/>
        <v>#DIV/0!</v>
      </c>
      <c r="R147" s="3"/>
    </row>
    <row r="148" spans="1:18" x14ac:dyDescent="0.25">
      <c r="A148">
        <v>13</v>
      </c>
      <c r="B148" s="607" t="s">
        <v>318</v>
      </c>
      <c r="C148" s="608">
        <v>0</v>
      </c>
      <c r="D148" s="609">
        <f>18225.6259591236*(+IF('Datos Generales'!$K$15&gt;1,'Datos Generales'!$K$15,1))</f>
        <v>18225.625959123601</v>
      </c>
      <c r="E148" s="609">
        <f t="shared" si="2"/>
        <v>0</v>
      </c>
      <c r="F148" s="609">
        <f>+D148*'Datos Generales'!$K$13</f>
        <v>0</v>
      </c>
      <c r="G148" s="610">
        <f t="shared" si="3"/>
        <v>0</v>
      </c>
      <c r="H148" s="608" t="e">
        <f>+H144</f>
        <v>#DIV/0!</v>
      </c>
      <c r="I148" s="609">
        <f>18225.6259591236*(+IF('Datos Generales'!$K$15&gt;1,'Datos Generales'!$K$15,1))</f>
        <v>18225.625959123601</v>
      </c>
      <c r="J148" s="609" t="e">
        <f t="shared" si="4"/>
        <v>#DIV/0!</v>
      </c>
      <c r="K148" s="609">
        <f>+I148*'Datos Generales'!$K$13</f>
        <v>0</v>
      </c>
      <c r="L148" s="610" t="e">
        <f t="shared" si="5"/>
        <v>#DIV/0!</v>
      </c>
      <c r="M148" s="608" t="e">
        <f t="shared" si="1"/>
        <v>#DIV/0!</v>
      </c>
      <c r="N148" s="609">
        <v>18225.625959123568</v>
      </c>
      <c r="O148" s="609" t="e">
        <f t="shared" si="6"/>
        <v>#DIV/0!</v>
      </c>
      <c r="P148" s="609">
        <f>+N148*'Datos Generales'!$K$13</f>
        <v>0</v>
      </c>
      <c r="Q148" s="610" t="e">
        <f t="shared" si="7"/>
        <v>#DIV/0!</v>
      </c>
      <c r="R148" s="3"/>
    </row>
    <row r="149" spans="1:18" x14ac:dyDescent="0.25">
      <c r="A149">
        <v>14</v>
      </c>
      <c r="B149" s="603" t="s">
        <v>319</v>
      </c>
      <c r="C149" s="604">
        <v>0</v>
      </c>
      <c r="D149" s="605">
        <f>95502.2800258075*(+IF('Datos Generales'!$K$15&gt;1,'Datos Generales'!$K$15,1))</f>
        <v>95502.2800258075</v>
      </c>
      <c r="E149" s="605">
        <f t="shared" si="2"/>
        <v>0</v>
      </c>
      <c r="F149" s="605">
        <f>+D149*'Datos Generales'!$K$13</f>
        <v>0</v>
      </c>
      <c r="G149" s="606">
        <f t="shared" si="3"/>
        <v>0</v>
      </c>
      <c r="H149" s="604">
        <v>0</v>
      </c>
      <c r="I149" s="605">
        <f>95502.2800258075*(+IF('Datos Generales'!$K$15&gt;1,'Datos Generales'!$K$15,1))</f>
        <v>95502.2800258075</v>
      </c>
      <c r="J149" s="605">
        <f t="shared" si="4"/>
        <v>0</v>
      </c>
      <c r="K149" s="605">
        <f>+I149*'Datos Generales'!$K$13</f>
        <v>0</v>
      </c>
      <c r="L149" s="606">
        <f t="shared" si="5"/>
        <v>0</v>
      </c>
      <c r="M149" s="604">
        <f t="shared" si="1"/>
        <v>0</v>
      </c>
      <c r="N149" s="605">
        <v>95502.280025807486</v>
      </c>
      <c r="O149" s="605">
        <f t="shared" si="6"/>
        <v>0</v>
      </c>
      <c r="P149" s="605">
        <f>+N149*'Datos Generales'!$K$13</f>
        <v>0</v>
      </c>
      <c r="Q149" s="606">
        <f t="shared" si="7"/>
        <v>0</v>
      </c>
      <c r="R149" s="3"/>
    </row>
    <row r="150" spans="1:18" x14ac:dyDescent="0.25">
      <c r="A150">
        <v>15</v>
      </c>
      <c r="B150" s="607" t="s">
        <v>183</v>
      </c>
      <c r="C150" s="608">
        <v>0</v>
      </c>
      <c r="D150" s="609">
        <f>25515.876342773*(+IF('Datos Generales'!$K$15&gt;1,'Datos Generales'!$K$15,1))</f>
        <v>25515.876342773001</v>
      </c>
      <c r="E150" s="609">
        <f t="shared" si="2"/>
        <v>0</v>
      </c>
      <c r="F150" s="609">
        <f>+D150*'Datos Generales'!$K$13</f>
        <v>0</v>
      </c>
      <c r="G150" s="610">
        <f t="shared" si="3"/>
        <v>0</v>
      </c>
      <c r="H150" s="608">
        <v>0</v>
      </c>
      <c r="I150" s="609">
        <f>25515.876342773*(+IF('Datos Generales'!$K$15&gt;1,'Datos Generales'!$K$15,1))</f>
        <v>25515.876342773001</v>
      </c>
      <c r="J150" s="609">
        <f t="shared" si="4"/>
        <v>0</v>
      </c>
      <c r="K150" s="609">
        <f>+I150*'Datos Generales'!$K$13</f>
        <v>0</v>
      </c>
      <c r="L150" s="610">
        <f t="shared" si="5"/>
        <v>0</v>
      </c>
      <c r="M150" s="608">
        <f t="shared" si="1"/>
        <v>0</v>
      </c>
      <c r="N150" s="609">
        <v>25515.876342772994</v>
      </c>
      <c r="O150" s="609">
        <f t="shared" si="6"/>
        <v>0</v>
      </c>
      <c r="P150" s="609">
        <f>+N150*'Datos Generales'!$K$13</f>
        <v>0</v>
      </c>
      <c r="Q150" s="610">
        <f t="shared" si="7"/>
        <v>0</v>
      </c>
      <c r="R150" s="3"/>
    </row>
    <row r="151" spans="1:18" x14ac:dyDescent="0.25">
      <c r="A151">
        <v>16</v>
      </c>
      <c r="B151" s="603" t="s">
        <v>184</v>
      </c>
      <c r="C151" s="604">
        <v>0</v>
      </c>
      <c r="D151" s="605">
        <f>318948.454284662*(+IF('Datos Generales'!$K$15&gt;1,'Datos Generales'!$K$15,1))</f>
        <v>318948.45428466197</v>
      </c>
      <c r="E151" s="605">
        <f t="shared" si="2"/>
        <v>0</v>
      </c>
      <c r="F151" s="605">
        <f>+D151*'Datos Generales'!$K$13</f>
        <v>0</v>
      </c>
      <c r="G151" s="606">
        <f t="shared" si="3"/>
        <v>0</v>
      </c>
      <c r="H151" s="604">
        <v>0</v>
      </c>
      <c r="I151" s="605">
        <f>318948.454284662*(+IF('Datos Generales'!$K$15&gt;1,'Datos Generales'!$K$15,1))</f>
        <v>318948.45428466197</v>
      </c>
      <c r="J151" s="605">
        <f t="shared" si="4"/>
        <v>0</v>
      </c>
      <c r="K151" s="605">
        <f>+I151*'Datos Generales'!$K$13</f>
        <v>0</v>
      </c>
      <c r="L151" s="606">
        <f t="shared" si="5"/>
        <v>0</v>
      </c>
      <c r="M151" s="604">
        <f t="shared" si="1"/>
        <v>0</v>
      </c>
      <c r="N151" s="605">
        <v>318948.45428466244</v>
      </c>
      <c r="O151" s="605">
        <f t="shared" si="6"/>
        <v>0</v>
      </c>
      <c r="P151" s="605">
        <f>+N151*'Datos Generales'!$K$13</f>
        <v>0</v>
      </c>
      <c r="Q151" s="606">
        <f t="shared" si="7"/>
        <v>0</v>
      </c>
      <c r="R151" s="3"/>
    </row>
    <row r="152" spans="1:18" x14ac:dyDescent="0.25">
      <c r="A152">
        <v>17</v>
      </c>
      <c r="B152" s="607" t="s">
        <v>185</v>
      </c>
      <c r="C152" s="608">
        <v>0</v>
      </c>
      <c r="D152" s="609">
        <f>33535.1517647874*(+IF('Datos Generales'!$K$15&gt;1,'Datos Generales'!$K$15,1))</f>
        <v>33535.151764787399</v>
      </c>
      <c r="E152" s="609">
        <f t="shared" si="2"/>
        <v>0</v>
      </c>
      <c r="F152" s="609">
        <f>+D152*'Datos Generales'!$K$13</f>
        <v>0</v>
      </c>
      <c r="G152" s="610">
        <f t="shared" si="3"/>
        <v>0</v>
      </c>
      <c r="H152" s="608">
        <v>0</v>
      </c>
      <c r="I152" s="609">
        <f>33535.1517647874*(+IF('Datos Generales'!$K$15&gt;1,'Datos Generales'!$K$15,1))</f>
        <v>33535.151764787399</v>
      </c>
      <c r="J152" s="609">
        <f t="shared" si="4"/>
        <v>0</v>
      </c>
      <c r="K152" s="609">
        <f>+I152*'Datos Generales'!$K$13</f>
        <v>0</v>
      </c>
      <c r="L152" s="610">
        <f t="shared" si="5"/>
        <v>0</v>
      </c>
      <c r="M152" s="608">
        <f t="shared" si="1"/>
        <v>0</v>
      </c>
      <c r="N152" s="609">
        <v>33535.151764787362</v>
      </c>
      <c r="O152" s="609">
        <f t="shared" si="6"/>
        <v>0</v>
      </c>
      <c r="P152" s="609">
        <f>+N152*'Datos Generales'!$K$13</f>
        <v>0</v>
      </c>
      <c r="Q152" s="610">
        <f t="shared" si="7"/>
        <v>0</v>
      </c>
      <c r="R152" s="3"/>
    </row>
    <row r="153" spans="1:18" x14ac:dyDescent="0.25">
      <c r="A153">
        <v>18</v>
      </c>
      <c r="B153" s="603" t="s">
        <v>186</v>
      </c>
      <c r="C153" s="604" t="e">
        <f>+ROUNDUP((C118/E117)/6.8,0)</f>
        <v>#DIV/0!</v>
      </c>
      <c r="D153" s="605">
        <f>10570.8630562917*(+IF('Datos Generales'!$K$15&gt;1,'Datos Generales'!$K$15,1))</f>
        <v>10570.863056291701</v>
      </c>
      <c r="E153" s="605" t="e">
        <f t="shared" si="2"/>
        <v>#DIV/0!</v>
      </c>
      <c r="F153" s="605">
        <f>+D153*'Datos Generales'!$K$13</f>
        <v>0</v>
      </c>
      <c r="G153" s="606" t="e">
        <f t="shared" si="3"/>
        <v>#DIV/0!</v>
      </c>
      <c r="H153" s="604" t="e">
        <f>+ROUNDUP((C118/E117)/(6.8+IF('C.Recicladores'!F127&gt;0,10*8*'C.Recicladores'!F127,0)),0)</f>
        <v>#DIV/0!</v>
      </c>
      <c r="I153" s="605">
        <f>10570.8630562917*(+IF('Datos Generales'!$K$15&gt;1,'Datos Generales'!$K$15,1))</f>
        <v>10570.863056291701</v>
      </c>
      <c r="J153" s="605" t="e">
        <f t="shared" si="4"/>
        <v>#DIV/0!</v>
      </c>
      <c r="K153" s="605">
        <f>+I153*'Datos Generales'!$K$13</f>
        <v>0</v>
      </c>
      <c r="L153" s="606" t="e">
        <f t="shared" si="5"/>
        <v>#DIV/0!</v>
      </c>
      <c r="M153" s="604" t="e">
        <f t="shared" si="1"/>
        <v>#DIV/0!</v>
      </c>
      <c r="N153" s="605">
        <v>10570.86305629167</v>
      </c>
      <c r="O153" s="605" t="e">
        <f t="shared" si="6"/>
        <v>#DIV/0!</v>
      </c>
      <c r="P153" s="605">
        <f>+N153*'Datos Generales'!$K$13</f>
        <v>0</v>
      </c>
      <c r="Q153" s="606" t="e">
        <f t="shared" si="7"/>
        <v>#DIV/0!</v>
      </c>
      <c r="R153" s="3"/>
    </row>
    <row r="154" spans="1:18" x14ac:dyDescent="0.25">
      <c r="A154">
        <v>19</v>
      </c>
      <c r="B154" s="607" t="s">
        <v>320</v>
      </c>
      <c r="C154" s="608">
        <v>0</v>
      </c>
      <c r="D154" s="609">
        <f>52125.2902430934*(+IF('Datos Generales'!$K$15&gt;1,'Datos Generales'!$K$15,1))</f>
        <v>52125.290243093397</v>
      </c>
      <c r="E154" s="609">
        <f t="shared" si="2"/>
        <v>0</v>
      </c>
      <c r="F154" s="609">
        <f>+D154*'Datos Generales'!$K$13</f>
        <v>0</v>
      </c>
      <c r="G154" s="610">
        <f t="shared" si="3"/>
        <v>0</v>
      </c>
      <c r="H154" s="608" t="e">
        <f>+ROUNDUP((C118/E117)/50,0)</f>
        <v>#DIV/0!</v>
      </c>
      <c r="I154" s="609">
        <f>52125.2902430934*(+IF('Datos Generales'!$K$15&gt;1,'Datos Generales'!$K$15,1))</f>
        <v>52125.290243093397</v>
      </c>
      <c r="J154" s="609" t="e">
        <f t="shared" si="4"/>
        <v>#DIV/0!</v>
      </c>
      <c r="K154" s="609">
        <f>+I154*'Datos Generales'!$K$13</f>
        <v>0</v>
      </c>
      <c r="L154" s="610" t="e">
        <f t="shared" si="5"/>
        <v>#DIV/0!</v>
      </c>
      <c r="M154" s="608" t="e">
        <f t="shared" si="1"/>
        <v>#DIV/0!</v>
      </c>
      <c r="N154" s="609">
        <v>52125.290243093405</v>
      </c>
      <c r="O154" s="609" t="e">
        <f t="shared" si="6"/>
        <v>#DIV/0!</v>
      </c>
      <c r="P154" s="609">
        <f>+N154*'Datos Generales'!$K$13</f>
        <v>0</v>
      </c>
      <c r="Q154" s="610" t="e">
        <f t="shared" si="7"/>
        <v>#DIV/0!</v>
      </c>
      <c r="R154" s="3"/>
    </row>
    <row r="155" spans="1:18" x14ac:dyDescent="0.25">
      <c r="A155">
        <v>20</v>
      </c>
      <c r="B155" s="603" t="s">
        <v>321</v>
      </c>
      <c r="C155" s="604">
        <v>0</v>
      </c>
      <c r="D155" s="605">
        <f>18954.6509974885*(+IF('Datos Generales'!$K$15&gt;1,'Datos Generales'!$K$15,1))</f>
        <v>18954.650997488501</v>
      </c>
      <c r="E155" s="605">
        <f t="shared" si="2"/>
        <v>0</v>
      </c>
      <c r="F155" s="605">
        <f>+D155*'Datos Generales'!$K$13</f>
        <v>0</v>
      </c>
      <c r="G155" s="606">
        <f t="shared" si="3"/>
        <v>0</v>
      </c>
      <c r="H155" s="604">
        <v>0</v>
      </c>
      <c r="I155" s="605">
        <f>18954.6509974885*(+IF('Datos Generales'!$K$15&gt;1,'Datos Generales'!$K$15,1))</f>
        <v>18954.650997488501</v>
      </c>
      <c r="J155" s="605">
        <f t="shared" si="4"/>
        <v>0</v>
      </c>
      <c r="K155" s="605">
        <f>+I155*'Datos Generales'!$K$13</f>
        <v>0</v>
      </c>
      <c r="L155" s="606">
        <f t="shared" si="5"/>
        <v>0</v>
      </c>
      <c r="M155" s="604">
        <f t="shared" si="1"/>
        <v>0</v>
      </c>
      <c r="N155" s="605">
        <v>18954.650997488508</v>
      </c>
      <c r="O155" s="605">
        <f t="shared" si="6"/>
        <v>0</v>
      </c>
      <c r="P155" s="605">
        <f>+N155*'Datos Generales'!$K$13</f>
        <v>0</v>
      </c>
      <c r="Q155" s="606">
        <f t="shared" si="7"/>
        <v>0</v>
      </c>
      <c r="R155" s="3"/>
    </row>
    <row r="156" spans="1:18" x14ac:dyDescent="0.25">
      <c r="A156">
        <v>21</v>
      </c>
      <c r="B156" s="607" t="s">
        <v>189</v>
      </c>
      <c r="C156" s="608" t="e">
        <f>C118/(E117*0.2)</f>
        <v>#DIV/0!</v>
      </c>
      <c r="D156" s="609">
        <f>127.579381713865*(+IF('Datos Generales'!$K$15&gt;1,'Datos Generales'!$K$15,1))</f>
        <v>127.579381713865</v>
      </c>
      <c r="E156" s="609" t="e">
        <f t="shared" si="2"/>
        <v>#DIV/0!</v>
      </c>
      <c r="F156" s="609">
        <f>+D156*'Datos Generales'!$K$13</f>
        <v>0</v>
      </c>
      <c r="G156" s="610" t="e">
        <f t="shared" si="3"/>
        <v>#DIV/0!</v>
      </c>
      <c r="H156" s="608" t="e">
        <f>C118/(E117*0.8)</f>
        <v>#DIV/0!</v>
      </c>
      <c r="I156" s="609">
        <f>127.579381713865*(+IF('Datos Generales'!$K$15&gt;1,'Datos Generales'!$K$15,1))</f>
        <v>127.579381713865</v>
      </c>
      <c r="J156" s="609" t="e">
        <f t="shared" si="4"/>
        <v>#DIV/0!</v>
      </c>
      <c r="K156" s="609">
        <f>+I156*'Datos Generales'!$K$13</f>
        <v>0</v>
      </c>
      <c r="L156" s="610" t="e">
        <f t="shared" si="5"/>
        <v>#DIV/0!</v>
      </c>
      <c r="M156" s="608" t="e">
        <f t="shared" si="1"/>
        <v>#DIV/0!</v>
      </c>
      <c r="N156" s="609">
        <v>127.57938171386496</v>
      </c>
      <c r="O156" s="609" t="e">
        <f t="shared" si="6"/>
        <v>#DIV/0!</v>
      </c>
      <c r="P156" s="609">
        <f>+N156*'Datos Generales'!$K$13</f>
        <v>0</v>
      </c>
      <c r="Q156" s="610" t="e">
        <f t="shared" si="7"/>
        <v>#DIV/0!</v>
      </c>
      <c r="R156" s="3"/>
    </row>
    <row r="157" spans="1:18" x14ac:dyDescent="0.25">
      <c r="A157">
        <v>22</v>
      </c>
      <c r="B157" s="603" t="s">
        <v>190</v>
      </c>
      <c r="C157" s="604" t="e">
        <f>C140/100</f>
        <v>#DIV/0!</v>
      </c>
      <c r="D157" s="605">
        <f>61.9671282610201*(+IF('Datos Generales'!$K$15&gt;1,'Datos Generales'!$K$15,1))</f>
        <v>61.9671282610201</v>
      </c>
      <c r="E157" s="605" t="e">
        <f t="shared" si="2"/>
        <v>#DIV/0!</v>
      </c>
      <c r="F157" s="605">
        <f>+D157*'Datos Generales'!$K$13</f>
        <v>0</v>
      </c>
      <c r="G157" s="606" t="e">
        <f t="shared" si="3"/>
        <v>#DIV/0!</v>
      </c>
      <c r="H157" s="604" t="e">
        <f>H140/100</f>
        <v>#DIV/0!</v>
      </c>
      <c r="I157" s="605">
        <f>309.835641305101*(+IF('Datos Generales'!$K$15&gt;1,'Datos Generales'!$K$15,1))</f>
        <v>309.83564130510098</v>
      </c>
      <c r="J157" s="605" t="e">
        <f t="shared" si="4"/>
        <v>#DIV/0!</v>
      </c>
      <c r="K157" s="605">
        <f>+I157*'Datos Generales'!$K$13</f>
        <v>0</v>
      </c>
      <c r="L157" s="606" t="e">
        <f t="shared" si="5"/>
        <v>#DIV/0!</v>
      </c>
      <c r="M157" s="604" t="e">
        <f t="shared" si="1"/>
        <v>#DIV/0!</v>
      </c>
      <c r="N157" s="605">
        <v>309.83564130510064</v>
      </c>
      <c r="O157" s="605" t="e">
        <f t="shared" si="6"/>
        <v>#DIV/0!</v>
      </c>
      <c r="P157" s="605">
        <f>+N157*'Datos Generales'!$K$13</f>
        <v>0</v>
      </c>
      <c r="Q157" s="606" t="e">
        <f t="shared" si="7"/>
        <v>#DIV/0!</v>
      </c>
      <c r="R157" s="3"/>
    </row>
    <row r="158" spans="1:18" x14ac:dyDescent="0.25">
      <c r="A158">
        <v>23</v>
      </c>
      <c r="B158" s="607" t="s">
        <v>192</v>
      </c>
      <c r="C158" s="608">
        <v>1</v>
      </c>
      <c r="D158" s="609">
        <f>364.512519182471*(+IF('Datos Generales'!$K$15&gt;1,'Datos Generales'!$K$15,1))</f>
        <v>364.51251918247101</v>
      </c>
      <c r="E158" s="609">
        <f t="shared" si="2"/>
        <v>364.51251918247101</v>
      </c>
      <c r="F158" s="609">
        <f>+D158*'Datos Generales'!$K$13</f>
        <v>0</v>
      </c>
      <c r="G158" s="610">
        <f t="shared" si="3"/>
        <v>0</v>
      </c>
      <c r="H158" s="608">
        <v>1</v>
      </c>
      <c r="I158" s="609">
        <f>5467.68778773707*(+IF('Datos Generales'!$K$15&gt;1,'Datos Generales'!$K$15,1))</f>
        <v>5467.6877877370698</v>
      </c>
      <c r="J158" s="609">
        <f t="shared" si="4"/>
        <v>5467.6877877370698</v>
      </c>
      <c r="K158" s="609">
        <f>+I158*'Datos Generales'!$K$13</f>
        <v>0</v>
      </c>
      <c r="L158" s="610">
        <f t="shared" si="5"/>
        <v>0</v>
      </c>
      <c r="M158" s="608">
        <f t="shared" si="1"/>
        <v>1</v>
      </c>
      <c r="N158" s="609">
        <v>5467.6877877370698</v>
      </c>
      <c r="O158" s="609">
        <f t="shared" si="6"/>
        <v>5467.6877877370698</v>
      </c>
      <c r="P158" s="609">
        <f>+N158*'Datos Generales'!$K$13</f>
        <v>0</v>
      </c>
      <c r="Q158" s="610">
        <f t="shared" si="7"/>
        <v>0</v>
      </c>
      <c r="R158" s="3"/>
    </row>
    <row r="159" spans="1:18" x14ac:dyDescent="0.25">
      <c r="A159">
        <v>24</v>
      </c>
      <c r="B159" s="603" t="s">
        <v>193</v>
      </c>
      <c r="C159" s="604" t="e">
        <f>+ROUNDUP(0.02*C140,0)</f>
        <v>#DIV/0!</v>
      </c>
      <c r="D159" s="605">
        <f>91.1281297956178*(+IF('Datos Generales'!$K$15&gt;1,'Datos Generales'!$K$15,1))</f>
        <v>91.128129795617795</v>
      </c>
      <c r="E159" s="605" t="e">
        <f t="shared" si="2"/>
        <v>#DIV/0!</v>
      </c>
      <c r="F159" s="605">
        <f>+D159*'Datos Generales'!$K$13</f>
        <v>0</v>
      </c>
      <c r="G159" s="606" t="e">
        <f t="shared" si="3"/>
        <v>#DIV/0!</v>
      </c>
      <c r="H159" s="604" t="e">
        <f>+ROUNDUP(0.02*H140,0)</f>
        <v>#DIV/0!</v>
      </c>
      <c r="I159" s="605">
        <f>91.1281297956178*(+IF('Datos Generales'!$K$15&gt;1,'Datos Generales'!$K$15,1))</f>
        <v>91.128129795617795</v>
      </c>
      <c r="J159" s="605" t="e">
        <f t="shared" si="4"/>
        <v>#DIV/0!</v>
      </c>
      <c r="K159" s="605">
        <f>+I159*'Datos Generales'!$K$13</f>
        <v>0</v>
      </c>
      <c r="L159" s="606" t="e">
        <f t="shared" si="5"/>
        <v>#DIV/0!</v>
      </c>
      <c r="M159" s="604" t="e">
        <f t="shared" si="1"/>
        <v>#DIV/0!</v>
      </c>
      <c r="N159" s="605">
        <v>91.128129795617838</v>
      </c>
      <c r="O159" s="605" t="e">
        <f t="shared" si="6"/>
        <v>#DIV/0!</v>
      </c>
      <c r="P159" s="605">
        <f>+N159*'Datos Generales'!$K$13</f>
        <v>0</v>
      </c>
      <c r="Q159" s="606" t="e">
        <f t="shared" si="7"/>
        <v>#DIV/0!</v>
      </c>
      <c r="R159" s="3"/>
    </row>
    <row r="160" spans="1:18" x14ac:dyDescent="0.25">
      <c r="A160">
        <v>25</v>
      </c>
      <c r="B160" s="607" t="s">
        <v>322</v>
      </c>
      <c r="C160" s="608" t="e">
        <f>C140/100</f>
        <v>#DIV/0!</v>
      </c>
      <c r="D160" s="609">
        <f>426.479647443491*(+IF('Datos Generales'!$K$15&gt;1,'Datos Generales'!$K$15,1))</f>
        <v>426.47964744349099</v>
      </c>
      <c r="E160" s="609" t="e">
        <f t="shared" si="2"/>
        <v>#DIV/0!</v>
      </c>
      <c r="F160" s="609">
        <f>+D160*'Datos Generales'!$K$13</f>
        <v>0</v>
      </c>
      <c r="G160" s="610" t="e">
        <f t="shared" si="3"/>
        <v>#DIV/0!</v>
      </c>
      <c r="H160" s="608" t="e">
        <f>H140/100</f>
        <v>#DIV/0!</v>
      </c>
      <c r="I160" s="609">
        <f>426.479647443491*(+IF('Datos Generales'!$K$15&gt;1,'Datos Generales'!$K$15,1))</f>
        <v>426.47964744349099</v>
      </c>
      <c r="J160" s="609" t="e">
        <f t="shared" si="4"/>
        <v>#DIV/0!</v>
      </c>
      <c r="K160" s="609">
        <f>+I160*'Datos Generales'!$K$13</f>
        <v>0</v>
      </c>
      <c r="L160" s="610" t="e">
        <f t="shared" si="5"/>
        <v>#DIV/0!</v>
      </c>
      <c r="M160" s="608" t="e">
        <f t="shared" si="1"/>
        <v>#DIV/0!</v>
      </c>
      <c r="N160" s="609">
        <v>426.47964744349144</v>
      </c>
      <c r="O160" s="609" t="e">
        <f t="shared" si="6"/>
        <v>#DIV/0!</v>
      </c>
      <c r="P160" s="609">
        <f>+N160*'Datos Generales'!$K$13</f>
        <v>0</v>
      </c>
      <c r="Q160" s="610" t="e">
        <f t="shared" si="7"/>
        <v>#DIV/0!</v>
      </c>
      <c r="R160" s="3"/>
    </row>
    <row r="161" spans="1:19" x14ac:dyDescent="0.25">
      <c r="A161">
        <v>26</v>
      </c>
      <c r="B161" s="603" t="s">
        <v>195</v>
      </c>
      <c r="C161" s="604">
        <v>0</v>
      </c>
      <c r="D161" s="605">
        <f>0*(+IF('Datos Generales'!$K$15&gt;1,'Datos Generales'!$K$15,1))</f>
        <v>0</v>
      </c>
      <c r="E161" s="605">
        <f t="shared" si="2"/>
        <v>0</v>
      </c>
      <c r="F161" s="605">
        <f>+D161*'Datos Generales'!$K$13</f>
        <v>0</v>
      </c>
      <c r="G161" s="606">
        <f t="shared" si="3"/>
        <v>0</v>
      </c>
      <c r="H161" s="604" t="e">
        <f>+ROUNDUP(H144*H147/30,0)</f>
        <v>#DIV/0!</v>
      </c>
      <c r="I161" s="605">
        <f>838.378794119684*(+IF('Datos Generales'!$K$15&gt;1,'Datos Generales'!$K$15,1))</f>
        <v>838.37879411968402</v>
      </c>
      <c r="J161" s="605" t="e">
        <f t="shared" si="4"/>
        <v>#DIV/0!</v>
      </c>
      <c r="K161" s="605">
        <f>+I161*'Datos Generales'!$K$13</f>
        <v>0</v>
      </c>
      <c r="L161" s="606" t="e">
        <f t="shared" si="5"/>
        <v>#DIV/0!</v>
      </c>
      <c r="M161" s="604" t="e">
        <f t="shared" si="1"/>
        <v>#DIV/0!</v>
      </c>
      <c r="N161" s="605">
        <v>838.37879411968413</v>
      </c>
      <c r="O161" s="605" t="e">
        <f t="shared" si="6"/>
        <v>#DIV/0!</v>
      </c>
      <c r="P161" s="605">
        <f>+N161*'Datos Generales'!$K$13</f>
        <v>0</v>
      </c>
      <c r="Q161" s="606" t="e">
        <f t="shared" si="7"/>
        <v>#DIV/0!</v>
      </c>
      <c r="R161" s="3"/>
    </row>
    <row r="162" spans="1:19" x14ac:dyDescent="0.25">
      <c r="A162">
        <v>27</v>
      </c>
      <c r="B162" s="607" t="s">
        <v>196</v>
      </c>
      <c r="C162" s="608" t="e">
        <f>2*C153</f>
        <v>#DIV/0!</v>
      </c>
      <c r="D162" s="609">
        <f>72.9025038364943*(+IF('Datos Generales'!$K$15&gt;1,'Datos Generales'!$K$15,1))</f>
        <v>72.902503836494304</v>
      </c>
      <c r="E162" s="609" t="e">
        <f t="shared" si="2"/>
        <v>#DIV/0!</v>
      </c>
      <c r="F162" s="609">
        <f>+D162*'Datos Generales'!$K$13</f>
        <v>0</v>
      </c>
      <c r="G162" s="610" t="e">
        <f t="shared" si="3"/>
        <v>#DIV/0!</v>
      </c>
      <c r="H162" s="608" t="e">
        <f>2*H153</f>
        <v>#DIV/0!</v>
      </c>
      <c r="I162" s="609">
        <f>72.9025038364943*(+IF('Datos Generales'!$K$15&gt;1,'Datos Generales'!$K$15,1))</f>
        <v>72.902503836494304</v>
      </c>
      <c r="J162" s="609" t="e">
        <f t="shared" si="4"/>
        <v>#DIV/0!</v>
      </c>
      <c r="K162" s="609">
        <f>+I162*'Datos Generales'!$K$13</f>
        <v>0</v>
      </c>
      <c r="L162" s="610" t="e">
        <f t="shared" si="5"/>
        <v>#DIV/0!</v>
      </c>
      <c r="M162" s="608" t="e">
        <f t="shared" si="1"/>
        <v>#DIV/0!</v>
      </c>
      <c r="N162" s="609">
        <v>72.902503836494262</v>
      </c>
      <c r="O162" s="609" t="e">
        <f t="shared" si="6"/>
        <v>#DIV/0!</v>
      </c>
      <c r="P162" s="609">
        <f>+N162*'Datos Generales'!$K$13</f>
        <v>0</v>
      </c>
      <c r="Q162" s="610" t="e">
        <f t="shared" si="7"/>
        <v>#DIV/0!</v>
      </c>
      <c r="R162" s="3"/>
    </row>
    <row r="163" spans="1:19" x14ac:dyDescent="0.25">
      <c r="A163">
        <v>28</v>
      </c>
      <c r="B163" s="603" t="s">
        <v>197</v>
      </c>
      <c r="C163" s="613">
        <v>0</v>
      </c>
      <c r="D163" s="614">
        <f>0*(+IF('Datos Generales'!$K$15&gt;1,'Datos Generales'!$K$15,1))</f>
        <v>0</v>
      </c>
      <c r="E163" s="614">
        <f t="shared" si="2"/>
        <v>0</v>
      </c>
      <c r="F163" s="614">
        <f>+D163*'Datos Generales'!$K$13</f>
        <v>0</v>
      </c>
      <c r="G163" s="615">
        <f t="shared" si="3"/>
        <v>0</v>
      </c>
      <c r="H163" s="613">
        <v>0</v>
      </c>
      <c r="I163" s="614">
        <f>0*(+IF('Datos Generales'!$K$15&gt;1,'Datos Generales'!$K$15,1))</f>
        <v>0</v>
      </c>
      <c r="J163" s="614">
        <f t="shared" si="4"/>
        <v>0</v>
      </c>
      <c r="K163" s="614">
        <f>+I163*'Datos Generales'!$K$13</f>
        <v>0</v>
      </c>
      <c r="L163" s="615">
        <f t="shared" si="5"/>
        <v>0</v>
      </c>
      <c r="M163" s="613">
        <f t="shared" si="1"/>
        <v>0</v>
      </c>
      <c r="N163" s="614">
        <v>0</v>
      </c>
      <c r="O163" s="614">
        <f t="shared" si="6"/>
        <v>0</v>
      </c>
      <c r="P163" s="614">
        <f>+N163*'Datos Generales'!$K$13</f>
        <v>0</v>
      </c>
      <c r="Q163" s="615">
        <f t="shared" si="7"/>
        <v>0</v>
      </c>
      <c r="R163" s="3"/>
    </row>
    <row r="164" spans="1:19" x14ac:dyDescent="0.25">
      <c r="A164">
        <v>29</v>
      </c>
      <c r="B164" s="607" t="s">
        <v>684</v>
      </c>
      <c r="C164" s="608">
        <v>0</v>
      </c>
      <c r="D164" s="609"/>
      <c r="E164" s="609">
        <f>+D164*C164</f>
        <v>0</v>
      </c>
      <c r="F164" s="609">
        <f>+D164*'Datos Generales'!$K$13</f>
        <v>0</v>
      </c>
      <c r="G164" s="610">
        <f>+F164*C164</f>
        <v>0</v>
      </c>
      <c r="H164" s="608" t="e">
        <f>+IF(C117*12&gt;40000,1,0)</f>
        <v>#DIV/0!</v>
      </c>
      <c r="I164" s="609"/>
      <c r="J164" s="609" t="e">
        <f>+I164*H164</f>
        <v>#DIV/0!</v>
      </c>
      <c r="K164" s="609">
        <f>+I164*'Datos Generales'!$K$13</f>
        <v>0</v>
      </c>
      <c r="L164" s="610" t="e">
        <f>+K164*H164</f>
        <v>#DIV/0!</v>
      </c>
      <c r="M164" s="608" t="e">
        <f t="shared" si="1"/>
        <v>#DIV/0!</v>
      </c>
      <c r="N164" s="609">
        <v>39000</v>
      </c>
      <c r="O164" s="609" t="e">
        <f>+N164*M164</f>
        <v>#DIV/0!</v>
      </c>
      <c r="P164" s="609">
        <f>+N164*'Datos Generales'!$K$13</f>
        <v>0</v>
      </c>
      <c r="Q164" s="610" t="e">
        <f>+P164*M164</f>
        <v>#DIV/0!</v>
      </c>
    </row>
    <row r="166" spans="1:19" x14ac:dyDescent="0.25">
      <c r="A166" s="3"/>
      <c r="B166" s="10" t="s">
        <v>236</v>
      </c>
      <c r="C166" s="9" t="s">
        <v>329</v>
      </c>
      <c r="D166" s="9" t="s">
        <v>331</v>
      </c>
      <c r="E166" s="9" t="s">
        <v>336</v>
      </c>
      <c r="G166" s="10" t="s">
        <v>236</v>
      </c>
      <c r="H166" s="9" t="s">
        <v>329</v>
      </c>
      <c r="I166" s="9" t="s">
        <v>331</v>
      </c>
      <c r="J166" s="9" t="s">
        <v>336</v>
      </c>
    </row>
    <row r="167" spans="1:19" x14ac:dyDescent="0.25">
      <c r="A167" s="3"/>
      <c r="B167" s="60" t="s">
        <v>343</v>
      </c>
      <c r="C167" s="60" t="e">
        <f>C153*2*IF('Datos Recicladores'!O159="",'Datos Recicladores'!P159,'Datos Recicladores'!O159)+ROUNDUP((thrcen*'Datos Recicladores'!P160)/C124,0)</f>
        <v>#DIV/0!</v>
      </c>
      <c r="D167" s="60" t="e">
        <f>+H153*2*IF('Datos Recicladores'!O159="",'Datos Recicladores'!P159,'Datos Recicladores'!O159)+ROUNDUP((thrcen*'Datos Recicladores'!P160)/D124,0)</f>
        <v>#DIV/0!</v>
      </c>
      <c r="E167" s="60" t="e">
        <f>+M153*2*IF('Datos Recicladores'!O159="",'Datos Recicladores'!P159,'Datos Recicladores'!O159)+ROUNDUP((thrcen*'Datos Recicladores'!P160)/E124,0)</f>
        <v>#DIV/0!</v>
      </c>
      <c r="G167" s="60" t="s">
        <v>343</v>
      </c>
      <c r="H167" s="60" t="e">
        <f>C153*2*IF('Datos Recicladores'!O159="",'Datos Recicladores'!P159,'Datos Recicladores'!O159)+ROUNDUP((thrcen*'Datos Recicladores'!P160)/0.22,0)</f>
        <v>#DIV/0!</v>
      </c>
      <c r="I167" s="60" t="e">
        <f>+H153*2*IF('Datos Recicladores'!O159="",'Datos Recicladores'!P159,'Datos Recicladores'!O159)+ROUNDUP((thrcen*'Datos Recicladores'!P160)/2.43,0)</f>
        <v>#DIV/0!</v>
      </c>
      <c r="J167" s="60" t="e">
        <f>+M153*2*IF('Datos Recicladores'!O159="",'Datos Recicladores'!P159,'Datos Recicladores'!O159)+ROUNDUP((thrcen*'Datos Recicladores'!P160)/(2.43+SUM(M149:M152)),0)</f>
        <v>#DIV/0!</v>
      </c>
    </row>
    <row r="168" spans="1:19" x14ac:dyDescent="0.25">
      <c r="A168" s="3"/>
      <c r="B168" s="61" t="s">
        <v>344</v>
      </c>
      <c r="C168" s="61">
        <f>+(C142+C154)*IF('Datos Recicladores'!O159="",'Datos Recicladores'!P159,'Datos Recicladores'!O159)</f>
        <v>0</v>
      </c>
      <c r="D168" s="61" t="e">
        <f>+(H142+H154)*IF('Datos Recicladores'!O159="",'Datos Recicladores'!P159,'Datos Recicladores'!O159)</f>
        <v>#DIV/0!</v>
      </c>
      <c r="E168" s="61" t="e">
        <f>+(M142+M154)*IF('Datos Recicladores'!O159="",'Datos Recicladores'!P159,'Datos Recicladores'!O159)</f>
        <v>#DIV/0!</v>
      </c>
      <c r="G168" s="61" t="s">
        <v>344</v>
      </c>
      <c r="H168" s="61">
        <f>+(C142+C154)*IF('Datos Recicladores'!O159="",'Datos Recicladores'!P159,'Datos Recicladores'!O159)</f>
        <v>0</v>
      </c>
      <c r="I168" s="61" t="e">
        <f>+(H142+H154)*IF('Datos Recicladores'!O159="",'Datos Recicladores'!P159,'Datos Recicladores'!O159)</f>
        <v>#DIV/0!</v>
      </c>
      <c r="J168" s="61" t="e">
        <f>+(M142+M154)*IF('Datos Recicladores'!O159="",'Datos Recicladores'!P159,'Datos Recicladores'!O159)</f>
        <v>#DIV/0!</v>
      </c>
    </row>
    <row r="169" spans="1:19" x14ac:dyDescent="0.25">
      <c r="A169" s="3"/>
      <c r="B169" s="60" t="s">
        <v>159</v>
      </c>
      <c r="C169" s="60" t="e">
        <f>+ROUNDUP(1*(C167+C168)/20,0)</f>
        <v>#DIV/0!</v>
      </c>
      <c r="D169" s="60" t="e">
        <f>+ROUNDUP(1*(D167+D168)/20,0)</f>
        <v>#DIV/0!</v>
      </c>
      <c r="E169" s="60" t="e">
        <f>+ROUNDUP(1*(E167+E168)/20,0)</f>
        <v>#DIV/0!</v>
      </c>
      <c r="G169" s="60" t="s">
        <v>159</v>
      </c>
      <c r="H169" s="60" t="e">
        <f>+ROUNDUP(1*(H167+H168)/20,0)</f>
        <v>#DIV/0!</v>
      </c>
      <c r="I169" s="60" t="e">
        <f>+ROUNDUP(1*(I167+I168)/20,0)</f>
        <v>#DIV/0!</v>
      </c>
      <c r="J169" s="60" t="e">
        <f>+ROUNDUP(1*(J167+J168)/20,0)</f>
        <v>#DIV/0!</v>
      </c>
    </row>
    <row r="170" spans="1:19" x14ac:dyDescent="0.25">
      <c r="A170" s="3"/>
      <c r="B170" s="61" t="s">
        <v>345</v>
      </c>
      <c r="C170" s="61">
        <v>1</v>
      </c>
      <c r="D170" s="61">
        <v>1</v>
      </c>
      <c r="E170" s="61">
        <v>1</v>
      </c>
      <c r="G170" s="61" t="s">
        <v>345</v>
      </c>
      <c r="H170" s="61">
        <v>1</v>
      </c>
      <c r="I170" s="61">
        <v>1</v>
      </c>
      <c r="J170" s="61">
        <v>1</v>
      </c>
    </row>
    <row r="171" spans="1:19" x14ac:dyDescent="0.25">
      <c r="B171" s="64" t="s">
        <v>346</v>
      </c>
      <c r="C171" s="64" t="e">
        <f>+SUM(C167:C170)</f>
        <v>#DIV/0!</v>
      </c>
      <c r="D171" s="64" t="e">
        <f>+SUM(D167:D170)</f>
        <v>#DIV/0!</v>
      </c>
      <c r="E171" s="64" t="e">
        <f>+SUM(E167:E170)</f>
        <v>#DIV/0!</v>
      </c>
      <c r="G171" s="64" t="s">
        <v>346</v>
      </c>
      <c r="H171" s="64" t="e">
        <f>+SUM(H167:H170)</f>
        <v>#DIV/0!</v>
      </c>
      <c r="I171" s="64" t="e">
        <f>+SUM(I167:I170)</f>
        <v>#DIV/0!</v>
      </c>
      <c r="J171" s="64" t="e">
        <f>+SUM(J167:J170)</f>
        <v>#DIV/0!</v>
      </c>
    </row>
    <row r="172" spans="1:19" x14ac:dyDescent="0.25">
      <c r="D172" s="29"/>
    </row>
    <row r="173" spans="1:19" x14ac:dyDescent="0.25">
      <c r="D173" s="29" t="e">
        <f>+H153*2*IF('Datos Recicladores'!O159="",'Datos Recicladores'!P159,'Datos Recicladores'!O159)</f>
        <v>#DIV/0!</v>
      </c>
    </row>
    <row r="174" spans="1:19" x14ac:dyDescent="0.25">
      <c r="D174" s="29"/>
    </row>
    <row r="175" spans="1:19" s="54" customFormat="1" ht="23.25" x14ac:dyDescent="0.35">
      <c r="B175" s="55" t="s">
        <v>369</v>
      </c>
      <c r="C175" s="55"/>
      <c r="D175" s="55"/>
      <c r="E175" s="55"/>
      <c r="F175" s="55"/>
      <c r="G175" s="55"/>
      <c r="H175" s="55"/>
      <c r="I175" s="55"/>
      <c r="J175" s="55"/>
      <c r="K175" s="55"/>
      <c r="L175" s="55"/>
      <c r="M175" s="55"/>
      <c r="N175" s="55"/>
      <c r="O175" s="55"/>
      <c r="P175" s="55"/>
      <c r="Q175" s="55"/>
      <c r="R175" s="55"/>
      <c r="S175" s="55"/>
    </row>
    <row r="176" spans="1:19" x14ac:dyDescent="0.25">
      <c r="D176" s="29"/>
    </row>
    <row r="177" spans="2:5" x14ac:dyDescent="0.25">
      <c r="D177" s="29"/>
    </row>
    <row r="178" spans="2:5" x14ac:dyDescent="0.25">
      <c r="D178" s="29"/>
    </row>
    <row r="179" spans="2:5" x14ac:dyDescent="0.25">
      <c r="B179" s="902" t="s">
        <v>368</v>
      </c>
      <c r="C179" s="902"/>
      <c r="D179" s="902"/>
      <c r="E179" s="902"/>
    </row>
    <row r="180" spans="2:5" x14ac:dyDescent="0.25">
      <c r="B180" s="5" t="s">
        <v>73</v>
      </c>
      <c r="C180" t="s">
        <v>234</v>
      </c>
      <c r="E180" t="s">
        <v>370</v>
      </c>
    </row>
    <row r="181" spans="2:5" x14ac:dyDescent="0.25">
      <c r="B181" s="71" t="s">
        <v>3</v>
      </c>
      <c r="C181">
        <v>72.902503836494262</v>
      </c>
      <c r="E181" s="2">
        <f>+C181*'Datos Generales'!$K$13*IF('Datos Generales'!$K$15&gt;1,'Datos Generales'!$K$15,1)</f>
        <v>0</v>
      </c>
    </row>
    <row r="182" spans="2:5" x14ac:dyDescent="0.25">
      <c r="B182" s="71" t="s">
        <v>4</v>
      </c>
      <c r="C182">
        <v>25.515876342772994</v>
      </c>
      <c r="E182" s="2">
        <f>+C182*'Datos Generales'!$K$13*IF('Datos Generales'!$K$15&gt;1,'Datos Generales'!$K$15,1)</f>
        <v>0</v>
      </c>
    </row>
    <row r="183" spans="2:5" x14ac:dyDescent="0.25">
      <c r="B183" s="71" t="s">
        <v>6</v>
      </c>
      <c r="C183">
        <v>29.161001534597705</v>
      </c>
      <c r="E183" s="2">
        <f>+C183*'Datos Generales'!$K$13*IF('Datos Generales'!$K$15&gt;1,'Datos Generales'!$K$15,1)</f>
        <v>0</v>
      </c>
    </row>
    <row r="184" spans="2:5" x14ac:dyDescent="0.25">
      <c r="B184" s="71" t="s">
        <v>5</v>
      </c>
      <c r="C184">
        <v>45.564064897808919</v>
      </c>
      <c r="E184" s="2">
        <f>+C184*'Datos Generales'!$K$13*IF('Datos Generales'!$K$15&gt;1,'Datos Generales'!$K$15,1)</f>
        <v>0</v>
      </c>
    </row>
    <row r="185" spans="2:5" x14ac:dyDescent="0.25">
      <c r="B185" s="71" t="s">
        <v>7</v>
      </c>
      <c r="C185">
        <v>61.967128261020129</v>
      </c>
      <c r="E185" s="2">
        <f>+C185*'Datos Generales'!$K$13*IF('Datos Generales'!$K$15&gt;1,'Datos Generales'!$K$15,1)</f>
        <v>0</v>
      </c>
    </row>
    <row r="186" spans="2:5" x14ac:dyDescent="0.25">
      <c r="B186" s="71" t="s">
        <v>72</v>
      </c>
      <c r="C186">
        <v>12.757938171386497</v>
      </c>
      <c r="E186" s="2">
        <f>+C186*'Datos Generales'!$K$13*IF('Datos Generales'!$K$15&gt;1,'Datos Generales'!$K$15,1)</f>
        <v>0</v>
      </c>
    </row>
    <row r="187" spans="2:5" x14ac:dyDescent="0.25">
      <c r="B187" s="71" t="s">
        <v>9</v>
      </c>
    </row>
    <row r="189" spans="2:5" x14ac:dyDescent="0.25">
      <c r="B189" s="902" t="s">
        <v>368</v>
      </c>
      <c r="C189" s="902"/>
      <c r="D189" s="902"/>
      <c r="E189" s="902"/>
    </row>
    <row r="190" spans="2:5" x14ac:dyDescent="0.25">
      <c r="B190" s="5" t="s">
        <v>73</v>
      </c>
      <c r="C190" t="s">
        <v>234</v>
      </c>
      <c r="E190" t="s">
        <v>370</v>
      </c>
    </row>
    <row r="191" spans="2:5" x14ac:dyDescent="0.25">
      <c r="B191" s="71" t="s">
        <v>3</v>
      </c>
      <c r="C191">
        <v>36.451251918247131</v>
      </c>
      <c r="E191" s="2">
        <f>+C191*'Datos Generales'!$K$13*IF('Datos Generales'!$K$15&gt;1,'Datos Generales'!$K$15,1)</f>
        <v>0</v>
      </c>
    </row>
    <row r="192" spans="2:5" x14ac:dyDescent="0.25">
      <c r="B192" s="71" t="s">
        <v>4</v>
      </c>
      <c r="C192">
        <v>18.225625959123565</v>
      </c>
      <c r="E192" s="2">
        <f>+C192*'Datos Generales'!$K$13*IF('Datos Generales'!$K$15&gt;1,'Datos Generales'!$K$15,1)</f>
        <v>0</v>
      </c>
    </row>
    <row r="193" spans="2:5" x14ac:dyDescent="0.25">
      <c r="B193" s="71" t="s">
        <v>6</v>
      </c>
      <c r="C193">
        <v>18.225625959123565</v>
      </c>
      <c r="E193" s="2">
        <f>+C193*'Datos Generales'!$K$13*IF('Datos Generales'!$K$15&gt;1,'Datos Generales'!$K$15,1)</f>
        <v>0</v>
      </c>
    </row>
    <row r="194" spans="2:5" x14ac:dyDescent="0.25">
      <c r="B194" s="71" t="s">
        <v>5</v>
      </c>
      <c r="C194">
        <v>36.451251918247131</v>
      </c>
      <c r="E194" s="2">
        <f>+C194*'Datos Generales'!$K$13*IF('Datos Generales'!$K$15&gt;1,'Datos Generales'!$K$15,1)</f>
        <v>0</v>
      </c>
    </row>
    <row r="195" spans="2:5" x14ac:dyDescent="0.25">
      <c r="B195" s="71" t="s">
        <v>7</v>
      </c>
      <c r="C195">
        <v>54.6768778773707</v>
      </c>
      <c r="E195" s="2">
        <f>+C195*'Datos Generales'!$K$13*IF('Datos Generales'!$K$15&gt;1,'Datos Generales'!$K$15,1)</f>
        <v>0</v>
      </c>
    </row>
    <row r="196" spans="2:5" x14ac:dyDescent="0.25">
      <c r="B196" s="71" t="s">
        <v>72</v>
      </c>
      <c r="C196">
        <v>9.1128129795617827</v>
      </c>
      <c r="E196" s="2">
        <f>+C196*'Datos Generales'!$K$13*IF('Datos Generales'!$K$15&gt;1,'Datos Generales'!$K$15,1)</f>
        <v>0</v>
      </c>
    </row>
    <row r="197" spans="2:5" x14ac:dyDescent="0.25">
      <c r="D197" s="29"/>
    </row>
    <row r="198" spans="2:5" x14ac:dyDescent="0.25">
      <c r="D198" s="29"/>
    </row>
    <row r="199" spans="2:5" x14ac:dyDescent="0.25">
      <c r="D199" s="29"/>
    </row>
    <row r="200" spans="2:5" x14ac:dyDescent="0.25">
      <c r="D200" s="29"/>
    </row>
    <row r="201" spans="2:5" x14ac:dyDescent="0.25">
      <c r="D201" s="29"/>
    </row>
    <row r="202" spans="2:5" x14ac:dyDescent="0.25">
      <c r="D202" s="29"/>
    </row>
    <row r="203" spans="2:5" x14ac:dyDescent="0.25">
      <c r="D203" s="29"/>
    </row>
    <row r="204" spans="2:5" x14ac:dyDescent="0.25">
      <c r="D204" s="29"/>
    </row>
    <row r="205" spans="2:5" x14ac:dyDescent="0.25">
      <c r="D205" s="29"/>
    </row>
    <row r="206" spans="2:5" x14ac:dyDescent="0.25">
      <c r="D206" s="29"/>
    </row>
    <row r="207" spans="2:5" x14ac:dyDescent="0.25">
      <c r="D207" s="29"/>
    </row>
    <row r="208" spans="2:5" x14ac:dyDescent="0.25">
      <c r="D208" s="29"/>
    </row>
    <row r="209" spans="4:4" x14ac:dyDescent="0.25">
      <c r="D209" s="29"/>
    </row>
    <row r="210" spans="4:4" x14ac:dyDescent="0.25">
      <c r="D210" s="29"/>
    </row>
    <row r="211" spans="4:4" x14ac:dyDescent="0.25">
      <c r="D211" s="29"/>
    </row>
    <row r="212" spans="4:4" x14ac:dyDescent="0.25">
      <c r="D212" s="29"/>
    </row>
    <row r="213" spans="4:4" x14ac:dyDescent="0.25">
      <c r="D213" s="29"/>
    </row>
    <row r="214" spans="4:4" x14ac:dyDescent="0.25">
      <c r="D214" s="29"/>
    </row>
    <row r="215" spans="4:4" x14ac:dyDescent="0.25">
      <c r="D215" s="29"/>
    </row>
    <row r="216" spans="4:4" x14ac:dyDescent="0.25">
      <c r="D216" s="29"/>
    </row>
    <row r="217" spans="4:4" x14ac:dyDescent="0.25">
      <c r="D217" s="29"/>
    </row>
    <row r="218" spans="4:4" x14ac:dyDescent="0.25">
      <c r="D218" s="29"/>
    </row>
    <row r="219" spans="4:4" x14ac:dyDescent="0.25">
      <c r="D219" s="29"/>
    </row>
    <row r="220" spans="4:4" x14ac:dyDescent="0.25">
      <c r="D220" s="29"/>
    </row>
    <row r="221" spans="4:4" x14ac:dyDescent="0.25">
      <c r="D221" s="29"/>
    </row>
    <row r="222" spans="4:4" x14ac:dyDescent="0.25">
      <c r="D222" s="29"/>
    </row>
    <row r="223" spans="4:4" x14ac:dyDescent="0.25">
      <c r="D223" s="29"/>
    </row>
    <row r="224" spans="4:4" x14ac:dyDescent="0.25">
      <c r="D224" s="29"/>
    </row>
    <row r="225" spans="4:4" x14ac:dyDescent="0.25">
      <c r="D225" s="29"/>
    </row>
    <row r="226" spans="4:4" x14ac:dyDescent="0.25">
      <c r="D226" s="29"/>
    </row>
    <row r="227" spans="4:4" x14ac:dyDescent="0.25">
      <c r="D227" s="29"/>
    </row>
    <row r="228" spans="4:4" x14ac:dyDescent="0.25">
      <c r="D228" s="29"/>
    </row>
    <row r="229" spans="4:4" x14ac:dyDescent="0.25">
      <c r="D229" s="29"/>
    </row>
  </sheetData>
  <mergeCells count="6">
    <mergeCell ref="B179:E179"/>
    <mergeCell ref="B189:E189"/>
    <mergeCell ref="A4:N4"/>
    <mergeCell ref="C135:G135"/>
    <mergeCell ref="H135:L135"/>
    <mergeCell ref="M135:Q135"/>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tabColor theme="5" tint="0.59999389629810485"/>
  </sheetPr>
  <dimension ref="A2:S229"/>
  <sheetViews>
    <sheetView topLeftCell="A112" zoomScale="85" zoomScaleNormal="85" workbookViewId="0">
      <selection activeCell="C141" sqref="C141"/>
    </sheetView>
  </sheetViews>
  <sheetFormatPr baseColWidth="10" defaultColWidth="11.5703125" defaultRowHeight="15" x14ac:dyDescent="0.25"/>
  <cols>
    <col min="2" max="2" width="41.140625" customWidth="1"/>
    <col min="3" max="3" width="28.140625" bestFit="1" customWidth="1"/>
    <col min="4" max="4" width="28" bestFit="1" customWidth="1"/>
    <col min="5" max="5" width="33.42578125" bestFit="1" customWidth="1"/>
    <col min="6" max="6" width="19.5703125" customWidth="1"/>
    <col min="7" max="8" width="16.85546875" customWidth="1"/>
    <col min="9" max="9" width="19" bestFit="1" customWidth="1"/>
    <col min="10" max="10" width="19" customWidth="1"/>
    <col min="11" max="11" width="29.28515625" bestFit="1" customWidth="1"/>
    <col min="12" max="12" width="24.28515625" bestFit="1" customWidth="1"/>
    <col min="13" max="13" width="17.140625" bestFit="1" customWidth="1"/>
    <col min="14" max="14" width="17.28515625" bestFit="1" customWidth="1"/>
    <col min="15" max="15" width="17.85546875" bestFit="1" customWidth="1"/>
    <col min="16" max="16" width="25.7109375" bestFit="1" customWidth="1"/>
    <col min="17" max="17" width="22.85546875" bestFit="1" customWidth="1"/>
    <col min="19" max="19" width="14.5703125" customWidth="1"/>
  </cols>
  <sheetData>
    <row r="2" spans="1:19" s="54" customFormat="1" ht="23.25" x14ac:dyDescent="0.35">
      <c r="B2" s="55" t="s">
        <v>82</v>
      </c>
      <c r="C2" s="55"/>
      <c r="D2" s="55"/>
      <c r="E2" s="55"/>
      <c r="F2" s="55"/>
      <c r="G2" s="55"/>
      <c r="H2" s="55"/>
      <c r="I2" s="55"/>
      <c r="J2" s="55"/>
      <c r="K2" s="55"/>
      <c r="L2" s="55"/>
      <c r="M2" s="55"/>
      <c r="N2" s="55"/>
      <c r="O2" s="55"/>
      <c r="P2" s="55"/>
      <c r="Q2" s="55"/>
      <c r="R2" s="55"/>
      <c r="S2" s="55"/>
    </row>
    <row r="4" spans="1:19" x14ac:dyDescent="0.25">
      <c r="A4" s="902" t="s">
        <v>59</v>
      </c>
      <c r="B4" s="902"/>
      <c r="C4" s="902"/>
      <c r="D4" s="902"/>
      <c r="E4" s="902"/>
      <c r="F4" s="902"/>
      <c r="G4" s="902"/>
      <c r="H4" s="902"/>
      <c r="I4" s="902"/>
      <c r="J4" s="902"/>
      <c r="K4" s="902"/>
      <c r="L4" s="902"/>
      <c r="M4" s="902"/>
      <c r="N4" s="902"/>
    </row>
    <row r="6" spans="1:19" ht="16.5" x14ac:dyDescent="0.25">
      <c r="A6" s="17" t="s">
        <v>0</v>
      </c>
      <c r="B6" s="17" t="s">
        <v>1</v>
      </c>
      <c r="C6" s="18" t="s">
        <v>2</v>
      </c>
      <c r="D6" s="18" t="s">
        <v>3</v>
      </c>
      <c r="E6" s="18" t="s">
        <v>4</v>
      </c>
      <c r="F6" s="18" t="s">
        <v>5</v>
      </c>
      <c r="G6" s="18" t="s">
        <v>6</v>
      </c>
      <c r="H6" s="18"/>
      <c r="I6" s="18" t="s">
        <v>7</v>
      </c>
      <c r="J6" s="18"/>
      <c r="K6" s="18"/>
      <c r="L6" s="18"/>
      <c r="M6" s="18" t="s">
        <v>8</v>
      </c>
      <c r="N6" s="18" t="s">
        <v>9</v>
      </c>
      <c r="Q6" s="18" t="s">
        <v>63</v>
      </c>
      <c r="S6" s="18" t="s">
        <v>78</v>
      </c>
    </row>
    <row r="7" spans="1:19" ht="16.5" x14ac:dyDescent="0.3">
      <c r="A7" s="19" t="s">
        <v>10</v>
      </c>
      <c r="B7" s="19"/>
      <c r="C7" s="20"/>
      <c r="D7" s="20"/>
      <c r="E7" s="20"/>
      <c r="F7" s="20"/>
      <c r="G7" s="20"/>
      <c r="H7" s="20"/>
      <c r="I7" s="20"/>
      <c r="J7" s="20"/>
      <c r="K7" s="20"/>
      <c r="L7" s="20"/>
      <c r="M7" s="20"/>
      <c r="N7" s="19"/>
      <c r="Q7" s="23" t="s">
        <v>64</v>
      </c>
      <c r="S7" s="24">
        <v>7.5999999999999998E-2</v>
      </c>
    </row>
    <row r="8" spans="1:19" ht="16.5" x14ac:dyDescent="0.3">
      <c r="A8" s="19" t="s">
        <v>11</v>
      </c>
      <c r="B8" s="19" t="s">
        <v>12</v>
      </c>
      <c r="C8" s="20"/>
      <c r="D8" s="20"/>
      <c r="E8" s="20"/>
      <c r="F8" s="20"/>
      <c r="G8" s="20"/>
      <c r="H8" s="20"/>
      <c r="I8" s="20"/>
      <c r="J8" s="20"/>
      <c r="K8" s="20"/>
      <c r="L8" s="20"/>
      <c r="M8" s="20"/>
      <c r="N8" s="21">
        <f>SUM(C8:M8)</f>
        <v>0</v>
      </c>
      <c r="Q8" s="23" t="s">
        <v>65</v>
      </c>
      <c r="S8" s="24">
        <v>5.5E-2</v>
      </c>
    </row>
    <row r="9" spans="1:19" ht="16.5" x14ac:dyDescent="0.3">
      <c r="A9" s="19" t="s">
        <v>13</v>
      </c>
      <c r="B9" s="19" t="s">
        <v>14</v>
      </c>
      <c r="C9" s="22">
        <v>0.4</v>
      </c>
      <c r="D9" s="22">
        <v>0.15</v>
      </c>
      <c r="E9" s="22">
        <v>0.09</v>
      </c>
      <c r="F9" s="22">
        <v>0.14000000000000001</v>
      </c>
      <c r="G9" s="22">
        <v>0.05</v>
      </c>
      <c r="H9" s="22"/>
      <c r="I9" s="22">
        <v>0.02</v>
      </c>
      <c r="J9" s="22"/>
      <c r="K9" s="22"/>
      <c r="L9" s="22"/>
      <c r="M9" s="22">
        <v>0</v>
      </c>
      <c r="N9" s="22">
        <f t="shared" ref="N9:N50" si="0">((SUM(C9:M9))/100)*100</f>
        <v>0.85000000000000009</v>
      </c>
      <c r="S9" s="24">
        <v>0.25</v>
      </c>
    </row>
    <row r="10" spans="1:19" ht="16.5" x14ac:dyDescent="0.3">
      <c r="A10" s="19" t="s">
        <v>15</v>
      </c>
      <c r="B10" s="19" t="s">
        <v>12</v>
      </c>
      <c r="C10" s="22">
        <v>0.54</v>
      </c>
      <c r="D10" s="22">
        <v>0.1</v>
      </c>
      <c r="E10" s="22">
        <v>0.06</v>
      </c>
      <c r="F10" s="22">
        <v>0.12</v>
      </c>
      <c r="G10" s="22">
        <v>0.04</v>
      </c>
      <c r="H10" s="22"/>
      <c r="I10" s="22">
        <v>0.02</v>
      </c>
      <c r="J10" s="22"/>
      <c r="K10" s="22"/>
      <c r="L10" s="22"/>
      <c r="M10" s="22">
        <v>0</v>
      </c>
      <c r="N10" s="22">
        <f t="shared" si="0"/>
        <v>0.88</v>
      </c>
      <c r="S10" s="24">
        <v>4.2999999999999997E-2</v>
      </c>
    </row>
    <row r="11" spans="1:19" ht="16.5" x14ac:dyDescent="0.3">
      <c r="A11" s="19" t="s">
        <v>16</v>
      </c>
      <c r="B11" s="19" t="s">
        <v>12</v>
      </c>
      <c r="C11" s="22">
        <v>0.54</v>
      </c>
      <c r="D11" s="22">
        <v>0.1</v>
      </c>
      <c r="E11" s="22">
        <v>0.06</v>
      </c>
      <c r="F11" s="22">
        <v>0.12</v>
      </c>
      <c r="G11" s="22">
        <v>0.04</v>
      </c>
      <c r="H11" s="22"/>
      <c r="I11" s="22">
        <v>0.02</v>
      </c>
      <c r="J11" s="22"/>
      <c r="K11" s="22"/>
      <c r="L11" s="22"/>
      <c r="M11" s="22">
        <v>0</v>
      </c>
      <c r="N11" s="22">
        <f t="shared" si="0"/>
        <v>0.88</v>
      </c>
      <c r="S11" s="24">
        <v>0.1295</v>
      </c>
    </row>
    <row r="12" spans="1:19" ht="16.5" x14ac:dyDescent="0.3">
      <c r="A12" s="19" t="s">
        <v>17</v>
      </c>
      <c r="B12" s="19" t="s">
        <v>12</v>
      </c>
      <c r="C12" s="22">
        <v>0.54</v>
      </c>
      <c r="D12" s="22">
        <v>0.1</v>
      </c>
      <c r="E12" s="22">
        <v>0.06</v>
      </c>
      <c r="F12" s="22">
        <v>0.12</v>
      </c>
      <c r="G12" s="22">
        <v>0.04</v>
      </c>
      <c r="H12" s="22"/>
      <c r="I12" s="22">
        <v>0.02</v>
      </c>
      <c r="J12" s="22"/>
      <c r="K12" s="22"/>
      <c r="L12" s="22"/>
      <c r="M12" s="22">
        <v>0</v>
      </c>
      <c r="N12" s="22">
        <f t="shared" si="0"/>
        <v>0.88</v>
      </c>
      <c r="S12" s="24">
        <v>0.105</v>
      </c>
    </row>
    <row r="13" spans="1:19" ht="16.5" x14ac:dyDescent="0.3">
      <c r="A13" s="19" t="s">
        <v>18</v>
      </c>
      <c r="B13" s="19" t="s">
        <v>19</v>
      </c>
      <c r="C13" s="22">
        <v>0.6</v>
      </c>
      <c r="D13" s="22">
        <v>0.13</v>
      </c>
      <c r="E13" s="22">
        <v>7.0000000000000007E-2</v>
      </c>
      <c r="F13" s="22">
        <v>0.05</v>
      </c>
      <c r="G13" s="22">
        <v>0.05</v>
      </c>
      <c r="H13" s="22"/>
      <c r="I13" s="22">
        <v>0.05</v>
      </c>
      <c r="J13" s="22"/>
      <c r="K13" s="22"/>
      <c r="L13" s="22"/>
      <c r="M13" s="22">
        <v>0</v>
      </c>
      <c r="N13" s="22">
        <f t="shared" si="0"/>
        <v>0.95000000000000018</v>
      </c>
      <c r="S13" s="24">
        <v>9.6107142857142863E-2</v>
      </c>
    </row>
    <row r="14" spans="1:19" ht="16.5" x14ac:dyDescent="0.3">
      <c r="A14" s="19" t="s">
        <v>20</v>
      </c>
      <c r="B14" s="19" t="s">
        <v>14</v>
      </c>
      <c r="C14" s="22">
        <v>0.24</v>
      </c>
      <c r="D14" s="22">
        <v>0.04</v>
      </c>
      <c r="E14" s="22">
        <v>0.02</v>
      </c>
      <c r="F14" s="22">
        <v>0.08</v>
      </c>
      <c r="G14" s="22">
        <v>0.02</v>
      </c>
      <c r="H14" s="22"/>
      <c r="I14" s="22">
        <v>0.01</v>
      </c>
      <c r="J14" s="22"/>
      <c r="K14" s="22"/>
      <c r="L14" s="22"/>
      <c r="M14" s="22">
        <v>0</v>
      </c>
      <c r="N14" s="22">
        <f t="shared" si="0"/>
        <v>0.41000000000000003</v>
      </c>
    </row>
    <row r="15" spans="1:19" ht="16.5" x14ac:dyDescent="0.3">
      <c r="A15" s="19" t="s">
        <v>21</v>
      </c>
      <c r="B15" s="19" t="s">
        <v>14</v>
      </c>
      <c r="C15" s="22">
        <v>0.61</v>
      </c>
      <c r="D15" s="22">
        <v>0.1</v>
      </c>
      <c r="E15" s="22">
        <v>0.05</v>
      </c>
      <c r="F15" s="22">
        <v>0.15</v>
      </c>
      <c r="G15" s="22">
        <v>0.03</v>
      </c>
      <c r="H15" s="22"/>
      <c r="I15" s="22">
        <v>0.02</v>
      </c>
      <c r="J15" s="22"/>
      <c r="K15" s="22"/>
      <c r="L15" s="22"/>
      <c r="M15" s="22">
        <v>0</v>
      </c>
      <c r="N15" s="22">
        <f t="shared" si="0"/>
        <v>0.96000000000000008</v>
      </c>
    </row>
    <row r="16" spans="1:19" ht="16.5" x14ac:dyDescent="0.3">
      <c r="A16" s="19" t="s">
        <v>22</v>
      </c>
      <c r="B16" s="19" t="s">
        <v>14</v>
      </c>
      <c r="C16" s="22">
        <v>0.54</v>
      </c>
      <c r="D16" s="22">
        <v>7.0000000000000007E-2</v>
      </c>
      <c r="E16" s="22">
        <v>0.04</v>
      </c>
      <c r="F16" s="22">
        <v>0.1</v>
      </c>
      <c r="G16" s="22">
        <v>0.05</v>
      </c>
      <c r="H16" s="22"/>
      <c r="I16" s="22">
        <v>0.02</v>
      </c>
      <c r="J16" s="22"/>
      <c r="K16" s="22"/>
      <c r="L16" s="22"/>
      <c r="M16" s="22">
        <v>0</v>
      </c>
      <c r="N16" s="22">
        <f t="shared" si="0"/>
        <v>0.82000000000000028</v>
      </c>
    </row>
    <row r="17" spans="1:14" ht="16.5" x14ac:dyDescent="0.3">
      <c r="A17" s="19" t="s">
        <v>23</v>
      </c>
      <c r="B17" s="19" t="s">
        <v>19</v>
      </c>
      <c r="C17" s="22">
        <v>0.5</v>
      </c>
      <c r="D17" s="22">
        <v>0.13</v>
      </c>
      <c r="E17" s="22">
        <v>0.08</v>
      </c>
      <c r="F17" s="22">
        <v>0.18</v>
      </c>
      <c r="G17" s="22">
        <v>0.02</v>
      </c>
      <c r="H17" s="22"/>
      <c r="I17" s="22">
        <v>0.02</v>
      </c>
      <c r="J17" s="22"/>
      <c r="K17" s="22"/>
      <c r="L17" s="22"/>
      <c r="M17" s="22">
        <v>0</v>
      </c>
      <c r="N17" s="22">
        <f t="shared" si="0"/>
        <v>0.92999999999999994</v>
      </c>
    </row>
    <row r="18" spans="1:14" ht="16.5" x14ac:dyDescent="0.3">
      <c r="A18" s="19" t="s">
        <v>24</v>
      </c>
      <c r="B18" s="19" t="s">
        <v>12</v>
      </c>
      <c r="C18" s="22">
        <v>0.69</v>
      </c>
      <c r="D18" s="22">
        <v>0.08</v>
      </c>
      <c r="E18" s="22">
        <v>0.04</v>
      </c>
      <c r="F18" s="22">
        <v>0.1</v>
      </c>
      <c r="G18" s="22">
        <v>0.05</v>
      </c>
      <c r="H18" s="22"/>
      <c r="I18" s="22">
        <v>0.02</v>
      </c>
      <c r="J18" s="22"/>
      <c r="K18" s="22"/>
      <c r="L18" s="22"/>
      <c r="M18" s="22">
        <v>0</v>
      </c>
      <c r="N18" s="22">
        <f t="shared" si="0"/>
        <v>0.98</v>
      </c>
    </row>
    <row r="19" spans="1:14" ht="16.5" x14ac:dyDescent="0.3">
      <c r="A19" s="19" t="s">
        <v>25</v>
      </c>
      <c r="B19" s="19" t="s">
        <v>14</v>
      </c>
      <c r="C19" s="22">
        <v>0.5</v>
      </c>
      <c r="D19" s="22">
        <v>0.12</v>
      </c>
      <c r="E19" s="22">
        <v>7.0000000000000007E-2</v>
      </c>
      <c r="F19" s="22">
        <v>0.1</v>
      </c>
      <c r="G19" s="22">
        <v>0.02</v>
      </c>
      <c r="H19" s="22"/>
      <c r="I19" s="22">
        <v>0.02</v>
      </c>
      <c r="J19" s="22"/>
      <c r="K19" s="22"/>
      <c r="L19" s="22"/>
      <c r="M19" s="22">
        <v>0</v>
      </c>
      <c r="N19" s="22">
        <f t="shared" si="0"/>
        <v>0.83</v>
      </c>
    </row>
    <row r="20" spans="1:14" ht="16.5" x14ac:dyDescent="0.3">
      <c r="A20" s="19" t="s">
        <v>26</v>
      </c>
      <c r="B20" s="19" t="s">
        <v>12</v>
      </c>
      <c r="C20" s="22">
        <v>0.54</v>
      </c>
      <c r="D20" s="22">
        <v>0.1</v>
      </c>
      <c r="E20" s="22">
        <v>0.06</v>
      </c>
      <c r="F20" s="22">
        <v>0.12</v>
      </c>
      <c r="G20" s="22">
        <v>0.04</v>
      </c>
      <c r="H20" s="22"/>
      <c r="I20" s="22">
        <v>0.02</v>
      </c>
      <c r="J20" s="22"/>
      <c r="K20" s="22"/>
      <c r="L20" s="22"/>
      <c r="M20" s="22">
        <v>0</v>
      </c>
      <c r="N20" s="22">
        <f t="shared" si="0"/>
        <v>0.88</v>
      </c>
    </row>
    <row r="21" spans="1:14" ht="16.5" x14ac:dyDescent="0.3">
      <c r="A21" s="19" t="s">
        <v>27</v>
      </c>
      <c r="B21" s="19" t="s">
        <v>14</v>
      </c>
      <c r="C21" s="22">
        <v>0.54</v>
      </c>
      <c r="D21" s="22">
        <v>0.1</v>
      </c>
      <c r="E21" s="22">
        <v>0.06</v>
      </c>
      <c r="F21" s="22">
        <v>0.12</v>
      </c>
      <c r="G21" s="22">
        <v>0.04</v>
      </c>
      <c r="H21" s="22"/>
      <c r="I21" s="22">
        <v>0.02</v>
      </c>
      <c r="J21" s="22"/>
      <c r="K21" s="22"/>
      <c r="L21" s="22"/>
      <c r="M21" s="22">
        <v>0</v>
      </c>
      <c r="N21" s="22">
        <f t="shared" si="0"/>
        <v>0.88</v>
      </c>
    </row>
    <row r="22" spans="1:14" ht="16.5" x14ac:dyDescent="0.3">
      <c r="A22" s="19" t="s">
        <v>28</v>
      </c>
      <c r="B22" s="19" t="s">
        <v>19</v>
      </c>
      <c r="C22" s="22">
        <v>0.54</v>
      </c>
      <c r="D22" s="22">
        <v>0.1</v>
      </c>
      <c r="E22" s="22">
        <v>0.06</v>
      </c>
      <c r="F22" s="22">
        <v>0.12</v>
      </c>
      <c r="G22" s="22">
        <v>0.04</v>
      </c>
      <c r="H22" s="22"/>
      <c r="I22" s="22">
        <v>0.02</v>
      </c>
      <c r="J22" s="22"/>
      <c r="K22" s="22"/>
      <c r="L22" s="22"/>
      <c r="M22" s="22">
        <v>0</v>
      </c>
      <c r="N22" s="22">
        <f t="shared" si="0"/>
        <v>0.88</v>
      </c>
    </row>
    <row r="23" spans="1:14" ht="16.5" x14ac:dyDescent="0.3">
      <c r="A23" s="19" t="s">
        <v>29</v>
      </c>
      <c r="B23" s="19" t="s">
        <v>12</v>
      </c>
      <c r="C23" s="22">
        <v>0.54</v>
      </c>
      <c r="D23" s="22">
        <v>0.1</v>
      </c>
      <c r="E23" s="22">
        <v>0.06</v>
      </c>
      <c r="F23" s="22">
        <v>0.12</v>
      </c>
      <c r="G23" s="22">
        <v>0.04</v>
      </c>
      <c r="H23" s="22"/>
      <c r="I23" s="22">
        <v>0.02</v>
      </c>
      <c r="J23" s="22"/>
      <c r="K23" s="22"/>
      <c r="L23" s="22"/>
      <c r="M23" s="22">
        <v>0</v>
      </c>
      <c r="N23" s="22">
        <f t="shared" si="0"/>
        <v>0.88</v>
      </c>
    </row>
    <row r="24" spans="1:14" ht="16.5" x14ac:dyDescent="0.3">
      <c r="A24" s="19" t="s">
        <v>30</v>
      </c>
      <c r="B24" s="19" t="s">
        <v>12</v>
      </c>
      <c r="C24" s="22">
        <v>0.54</v>
      </c>
      <c r="D24" s="22">
        <v>0.1</v>
      </c>
      <c r="E24" s="22">
        <v>0.06</v>
      </c>
      <c r="F24" s="22">
        <v>0.12</v>
      </c>
      <c r="G24" s="22">
        <v>0.04</v>
      </c>
      <c r="H24" s="22"/>
      <c r="I24" s="22">
        <v>0.02</v>
      </c>
      <c r="J24" s="22"/>
      <c r="K24" s="22"/>
      <c r="L24" s="22"/>
      <c r="M24" s="22">
        <v>0</v>
      </c>
      <c r="N24" s="22">
        <f t="shared" si="0"/>
        <v>0.88</v>
      </c>
    </row>
    <row r="25" spans="1:14" ht="16.5" x14ac:dyDescent="0.3">
      <c r="A25" s="19" t="s">
        <v>31</v>
      </c>
      <c r="B25" s="19" t="s">
        <v>19</v>
      </c>
      <c r="C25" s="22">
        <v>0.44</v>
      </c>
      <c r="D25" s="22">
        <v>0.11</v>
      </c>
      <c r="E25" s="22">
        <v>7.0000000000000007E-2</v>
      </c>
      <c r="F25" s="22">
        <v>0.13</v>
      </c>
      <c r="G25" s="22">
        <v>0.05</v>
      </c>
      <c r="H25" s="22"/>
      <c r="I25" s="22">
        <v>0.04</v>
      </c>
      <c r="J25" s="22"/>
      <c r="K25" s="22"/>
      <c r="L25" s="22"/>
      <c r="M25" s="22">
        <v>0</v>
      </c>
      <c r="N25" s="22">
        <f t="shared" si="0"/>
        <v>0.84000000000000008</v>
      </c>
    </row>
    <row r="26" spans="1:14" ht="16.5" x14ac:dyDescent="0.3">
      <c r="A26" s="19" t="s">
        <v>32</v>
      </c>
      <c r="B26" s="19" t="s">
        <v>14</v>
      </c>
      <c r="C26" s="22">
        <v>0.49</v>
      </c>
      <c r="D26" s="22">
        <v>0.15</v>
      </c>
      <c r="E26" s="22">
        <v>0.09</v>
      </c>
      <c r="F26" s="22">
        <v>0.1</v>
      </c>
      <c r="G26" s="22">
        <v>0.02</v>
      </c>
      <c r="H26" s="22"/>
      <c r="I26" s="22">
        <v>0.02</v>
      </c>
      <c r="J26" s="22"/>
      <c r="K26" s="22"/>
      <c r="L26" s="22"/>
      <c r="M26" s="22">
        <v>0</v>
      </c>
      <c r="N26" s="22">
        <f t="shared" si="0"/>
        <v>0.86999999999999988</v>
      </c>
    </row>
    <row r="27" spans="1:14" ht="16.5" x14ac:dyDescent="0.3">
      <c r="A27" s="19" t="s">
        <v>33</v>
      </c>
      <c r="B27" s="19" t="s">
        <v>14</v>
      </c>
      <c r="C27" s="22">
        <v>0.54</v>
      </c>
      <c r="D27" s="22">
        <v>0.1</v>
      </c>
      <c r="E27" s="22">
        <v>0.06</v>
      </c>
      <c r="F27" s="22">
        <v>0.12</v>
      </c>
      <c r="G27" s="22">
        <v>0.04</v>
      </c>
      <c r="H27" s="22"/>
      <c r="I27" s="22">
        <v>0.02</v>
      </c>
      <c r="J27" s="22"/>
      <c r="K27" s="22"/>
      <c r="L27" s="22"/>
      <c r="M27" s="22">
        <v>0</v>
      </c>
      <c r="N27" s="22">
        <f t="shared" si="0"/>
        <v>0.88</v>
      </c>
    </row>
    <row r="28" spans="1:14" ht="16.5" x14ac:dyDescent="0.3">
      <c r="A28" s="19" t="s">
        <v>34</v>
      </c>
      <c r="B28" s="19" t="s">
        <v>12</v>
      </c>
      <c r="C28" s="22">
        <v>0.54</v>
      </c>
      <c r="D28" s="22">
        <v>0.1</v>
      </c>
      <c r="E28" s="22">
        <v>0.06</v>
      </c>
      <c r="F28" s="22">
        <v>0.12</v>
      </c>
      <c r="G28" s="22">
        <v>0.04</v>
      </c>
      <c r="H28" s="22"/>
      <c r="I28" s="22">
        <v>0.02</v>
      </c>
      <c r="J28" s="22"/>
      <c r="K28" s="22"/>
      <c r="L28" s="22"/>
      <c r="M28" s="22">
        <v>0</v>
      </c>
      <c r="N28" s="22">
        <f t="shared" si="0"/>
        <v>0.88</v>
      </c>
    </row>
    <row r="29" spans="1:14" ht="16.5" x14ac:dyDescent="0.3">
      <c r="A29" s="19" t="s">
        <v>35</v>
      </c>
      <c r="B29" s="19" t="s">
        <v>19</v>
      </c>
      <c r="C29" s="22">
        <v>0.54</v>
      </c>
      <c r="D29" s="22">
        <v>0.1</v>
      </c>
      <c r="E29" s="22">
        <v>0.06</v>
      </c>
      <c r="F29" s="22">
        <v>0.12</v>
      </c>
      <c r="G29" s="22">
        <v>0.04</v>
      </c>
      <c r="H29" s="22"/>
      <c r="I29" s="22">
        <v>0.02</v>
      </c>
      <c r="J29" s="22"/>
      <c r="K29" s="22"/>
      <c r="L29" s="22"/>
      <c r="M29" s="22">
        <v>0</v>
      </c>
      <c r="N29" s="22">
        <f t="shared" si="0"/>
        <v>0.88</v>
      </c>
    </row>
    <row r="30" spans="1:14" ht="16.5" x14ac:dyDescent="0.3">
      <c r="A30" s="19" t="s">
        <v>36</v>
      </c>
      <c r="B30" s="19" t="s">
        <v>12</v>
      </c>
      <c r="C30" s="22">
        <v>0.54</v>
      </c>
      <c r="D30" s="22">
        <v>0.1</v>
      </c>
      <c r="E30" s="22">
        <v>0.06</v>
      </c>
      <c r="F30" s="22">
        <v>0.12</v>
      </c>
      <c r="G30" s="22">
        <v>0.04</v>
      </c>
      <c r="H30" s="22"/>
      <c r="I30" s="22">
        <v>0.02</v>
      </c>
      <c r="J30" s="22"/>
      <c r="K30" s="22"/>
      <c r="L30" s="22"/>
      <c r="M30" s="22">
        <v>0</v>
      </c>
      <c r="N30" s="22">
        <f t="shared" si="0"/>
        <v>0.88</v>
      </c>
    </row>
    <row r="31" spans="1:14" ht="16.5" x14ac:dyDescent="0.3">
      <c r="A31" s="19" t="s">
        <v>37</v>
      </c>
      <c r="B31" s="19" t="s">
        <v>12</v>
      </c>
      <c r="C31" s="22">
        <v>0.54</v>
      </c>
      <c r="D31" s="22">
        <v>0.1</v>
      </c>
      <c r="E31" s="22">
        <v>0.06</v>
      </c>
      <c r="F31" s="22">
        <v>0.12</v>
      </c>
      <c r="G31" s="22">
        <v>0.04</v>
      </c>
      <c r="H31" s="22"/>
      <c r="I31" s="22">
        <v>0.02</v>
      </c>
      <c r="J31" s="22"/>
      <c r="K31" s="22"/>
      <c r="L31" s="22"/>
      <c r="M31" s="22">
        <v>0</v>
      </c>
      <c r="N31" s="22">
        <f t="shared" si="0"/>
        <v>0.88</v>
      </c>
    </row>
    <row r="32" spans="1:14" ht="16.5" x14ac:dyDescent="0.3">
      <c r="A32" s="19" t="s">
        <v>38</v>
      </c>
      <c r="B32" s="19" t="s">
        <v>12</v>
      </c>
      <c r="C32" s="22">
        <v>0.54</v>
      </c>
      <c r="D32" s="22">
        <v>0.1</v>
      </c>
      <c r="E32" s="22">
        <v>0.06</v>
      </c>
      <c r="F32" s="22">
        <v>0.12</v>
      </c>
      <c r="G32" s="22">
        <v>0.04</v>
      </c>
      <c r="H32" s="22"/>
      <c r="I32" s="22">
        <v>0.02</v>
      </c>
      <c r="J32" s="22"/>
      <c r="K32" s="22"/>
      <c r="L32" s="22"/>
      <c r="M32" s="22">
        <v>0</v>
      </c>
      <c r="N32" s="22">
        <f t="shared" si="0"/>
        <v>0.88</v>
      </c>
    </row>
    <row r="33" spans="1:14" ht="16.5" x14ac:dyDescent="0.3">
      <c r="A33" s="19" t="s">
        <v>39</v>
      </c>
      <c r="B33" s="19" t="s">
        <v>12</v>
      </c>
      <c r="C33" s="22">
        <v>0.56999999999999995</v>
      </c>
      <c r="D33" s="22">
        <v>0.08</v>
      </c>
      <c r="E33" s="22">
        <v>0.05</v>
      </c>
      <c r="F33" s="22">
        <v>0.18</v>
      </c>
      <c r="G33" s="22">
        <v>0.05</v>
      </c>
      <c r="H33" s="22"/>
      <c r="I33" s="22">
        <v>0.04</v>
      </c>
      <c r="J33" s="22"/>
      <c r="K33" s="22"/>
      <c r="L33" s="22"/>
      <c r="M33" s="22">
        <v>0</v>
      </c>
      <c r="N33" s="22">
        <f t="shared" si="0"/>
        <v>0.97</v>
      </c>
    </row>
    <row r="34" spans="1:14" ht="16.5" x14ac:dyDescent="0.3">
      <c r="A34" s="19" t="s">
        <v>40</v>
      </c>
      <c r="B34" s="19" t="s">
        <v>12</v>
      </c>
      <c r="C34" s="22">
        <v>0.54</v>
      </c>
      <c r="D34" s="22">
        <v>0.1</v>
      </c>
      <c r="E34" s="22">
        <v>0.06</v>
      </c>
      <c r="F34" s="22">
        <v>0.12</v>
      </c>
      <c r="G34" s="22">
        <v>0.04</v>
      </c>
      <c r="H34" s="22"/>
      <c r="I34" s="22">
        <v>0.02</v>
      </c>
      <c r="J34" s="22"/>
      <c r="K34" s="22"/>
      <c r="L34" s="22"/>
      <c r="M34" s="22">
        <v>0</v>
      </c>
      <c r="N34" s="22">
        <f t="shared" si="0"/>
        <v>0.88</v>
      </c>
    </row>
    <row r="35" spans="1:14" ht="16.5" x14ac:dyDescent="0.3">
      <c r="A35" s="19" t="s">
        <v>41</v>
      </c>
      <c r="B35" s="19" t="s">
        <v>42</v>
      </c>
      <c r="C35" s="22">
        <v>0.51</v>
      </c>
      <c r="D35" s="22">
        <v>0.1</v>
      </c>
      <c r="E35" s="22">
        <v>0.05</v>
      </c>
      <c r="F35" s="22">
        <v>0.06</v>
      </c>
      <c r="G35" s="22">
        <v>0.06</v>
      </c>
      <c r="H35" s="22"/>
      <c r="I35" s="22">
        <v>0.03</v>
      </c>
      <c r="J35" s="22"/>
      <c r="K35" s="22"/>
      <c r="L35" s="22"/>
      <c r="M35" s="22">
        <v>0</v>
      </c>
      <c r="N35" s="22">
        <f t="shared" si="0"/>
        <v>0.81000000000000016</v>
      </c>
    </row>
    <row r="36" spans="1:14" ht="16.5" x14ac:dyDescent="0.3">
      <c r="A36" s="19" t="s">
        <v>43</v>
      </c>
      <c r="B36" s="19" t="s">
        <v>19</v>
      </c>
      <c r="C36" s="22">
        <v>0.54</v>
      </c>
      <c r="D36" s="22">
        <v>0.1</v>
      </c>
      <c r="E36" s="22">
        <v>0.06</v>
      </c>
      <c r="F36" s="22">
        <v>0.12</v>
      </c>
      <c r="G36" s="22">
        <v>0.04</v>
      </c>
      <c r="H36" s="22"/>
      <c r="I36" s="22">
        <v>0.02</v>
      </c>
      <c r="J36" s="22"/>
      <c r="K36" s="22"/>
      <c r="L36" s="22"/>
      <c r="M36" s="22">
        <v>0</v>
      </c>
      <c r="N36" s="22">
        <f t="shared" si="0"/>
        <v>0.88</v>
      </c>
    </row>
    <row r="37" spans="1:14" ht="16.5" x14ac:dyDescent="0.3">
      <c r="A37" s="19" t="s">
        <v>44</v>
      </c>
      <c r="B37" s="19" t="s">
        <v>19</v>
      </c>
      <c r="C37" s="22">
        <v>0.44</v>
      </c>
      <c r="D37" s="22">
        <v>0.16</v>
      </c>
      <c r="E37" s="22">
        <v>0.09</v>
      </c>
      <c r="F37" s="22">
        <v>0.11</v>
      </c>
      <c r="G37" s="22">
        <v>0.08</v>
      </c>
      <c r="H37" s="22"/>
      <c r="I37" s="22">
        <v>0.05</v>
      </c>
      <c r="J37" s="22"/>
      <c r="K37" s="22"/>
      <c r="L37" s="22"/>
      <c r="M37" s="22">
        <v>0</v>
      </c>
      <c r="N37" s="22">
        <f t="shared" si="0"/>
        <v>0.92999999999999994</v>
      </c>
    </row>
    <row r="38" spans="1:14" ht="16.5" x14ac:dyDescent="0.3">
      <c r="A38" s="19" t="s">
        <v>45</v>
      </c>
      <c r="B38" s="19" t="s">
        <v>14</v>
      </c>
      <c r="C38" s="22">
        <v>0.54</v>
      </c>
      <c r="D38" s="22">
        <v>0.1</v>
      </c>
      <c r="E38" s="22">
        <v>0.06</v>
      </c>
      <c r="F38" s="22">
        <v>0.12</v>
      </c>
      <c r="G38" s="22">
        <v>0.04</v>
      </c>
      <c r="H38" s="22"/>
      <c r="I38" s="22">
        <v>0.02</v>
      </c>
      <c r="J38" s="22"/>
      <c r="K38" s="22"/>
      <c r="L38" s="22"/>
      <c r="M38" s="22">
        <v>0</v>
      </c>
      <c r="N38" s="22">
        <f t="shared" si="0"/>
        <v>0.88</v>
      </c>
    </row>
    <row r="39" spans="1:14" ht="16.5" x14ac:dyDescent="0.3">
      <c r="A39" s="19" t="s">
        <v>46</v>
      </c>
      <c r="B39" s="19" t="s">
        <v>14</v>
      </c>
      <c r="C39" s="22">
        <v>0.55000000000000004</v>
      </c>
      <c r="D39" s="22">
        <v>0.04</v>
      </c>
      <c r="E39" s="22">
        <v>0.03</v>
      </c>
      <c r="F39" s="22">
        <v>0.04</v>
      </c>
      <c r="G39" s="22">
        <v>0.03</v>
      </c>
      <c r="H39" s="22"/>
      <c r="I39" s="22">
        <v>0.02</v>
      </c>
      <c r="J39" s="22"/>
      <c r="K39" s="22"/>
      <c r="L39" s="22"/>
      <c r="M39" s="22">
        <v>0</v>
      </c>
      <c r="N39" s="22">
        <f t="shared" si="0"/>
        <v>0.71000000000000019</v>
      </c>
    </row>
    <row r="40" spans="1:14" ht="16.5" x14ac:dyDescent="0.3">
      <c r="A40" s="19" t="s">
        <v>47</v>
      </c>
      <c r="B40" s="19" t="s">
        <v>12</v>
      </c>
      <c r="C40" s="22">
        <v>0.54</v>
      </c>
      <c r="D40" s="22">
        <v>0.1</v>
      </c>
      <c r="E40" s="22">
        <v>0.06</v>
      </c>
      <c r="F40" s="22">
        <v>0.12</v>
      </c>
      <c r="G40" s="22">
        <v>0.04</v>
      </c>
      <c r="H40" s="22"/>
      <c r="I40" s="22">
        <v>0.02</v>
      </c>
      <c r="J40" s="22"/>
      <c r="K40" s="22"/>
      <c r="L40" s="22"/>
      <c r="M40" s="22">
        <v>0</v>
      </c>
      <c r="N40" s="22">
        <f t="shared" si="0"/>
        <v>0.88</v>
      </c>
    </row>
    <row r="41" spans="1:14" ht="16.5" x14ac:dyDescent="0.3">
      <c r="A41" s="19" t="s">
        <v>48</v>
      </c>
      <c r="B41" s="19" t="s">
        <v>12</v>
      </c>
      <c r="C41" s="22">
        <v>0.39</v>
      </c>
      <c r="D41" s="22">
        <v>0.09</v>
      </c>
      <c r="E41" s="22">
        <v>0.05</v>
      </c>
      <c r="F41" s="22">
        <v>0.36</v>
      </c>
      <c r="G41" s="22">
        <v>0.01</v>
      </c>
      <c r="H41" s="22"/>
      <c r="I41" s="22">
        <v>0.01</v>
      </c>
      <c r="J41" s="22"/>
      <c r="K41" s="22"/>
      <c r="L41" s="22"/>
      <c r="M41" s="22">
        <v>0</v>
      </c>
      <c r="N41" s="22">
        <f t="shared" si="0"/>
        <v>0.91</v>
      </c>
    </row>
    <row r="42" spans="1:14" ht="16.5" x14ac:dyDescent="0.3">
      <c r="A42" s="19" t="s">
        <v>49</v>
      </c>
      <c r="B42" s="19" t="s">
        <v>12</v>
      </c>
      <c r="C42" s="22">
        <v>0.54</v>
      </c>
      <c r="D42" s="22">
        <v>0.1</v>
      </c>
      <c r="E42" s="22">
        <v>0.06</v>
      </c>
      <c r="F42" s="22">
        <v>0.12</v>
      </c>
      <c r="G42" s="22">
        <v>0.04</v>
      </c>
      <c r="H42" s="22"/>
      <c r="I42" s="22">
        <v>0.02</v>
      </c>
      <c r="J42" s="22"/>
      <c r="K42" s="22"/>
      <c r="L42" s="22"/>
      <c r="M42" s="22">
        <v>0</v>
      </c>
      <c r="N42" s="22">
        <f t="shared" si="0"/>
        <v>0.88</v>
      </c>
    </row>
    <row r="43" spans="1:14" ht="16.5" x14ac:dyDescent="0.3">
      <c r="A43" s="19" t="s">
        <v>50</v>
      </c>
      <c r="B43" s="19" t="s">
        <v>12</v>
      </c>
      <c r="C43" s="22">
        <v>0.54</v>
      </c>
      <c r="D43" s="22">
        <v>0.1</v>
      </c>
      <c r="E43" s="22">
        <v>0.06</v>
      </c>
      <c r="F43" s="22">
        <v>0.12</v>
      </c>
      <c r="G43" s="22">
        <v>0.04</v>
      </c>
      <c r="H43" s="22"/>
      <c r="I43" s="22">
        <v>0.02</v>
      </c>
      <c r="J43" s="22"/>
      <c r="K43" s="22"/>
      <c r="L43" s="22"/>
      <c r="M43" s="22">
        <v>0</v>
      </c>
      <c r="N43" s="22">
        <f t="shared" si="0"/>
        <v>0.88</v>
      </c>
    </row>
    <row r="44" spans="1:14" ht="16.5" x14ac:dyDescent="0.3">
      <c r="A44" s="19" t="s">
        <v>51</v>
      </c>
      <c r="B44" s="19" t="s">
        <v>12</v>
      </c>
      <c r="C44" s="22">
        <v>0.34</v>
      </c>
      <c r="D44" s="22">
        <v>0.2</v>
      </c>
      <c r="E44" s="22">
        <v>0.12</v>
      </c>
      <c r="F44" s="22">
        <v>0.12</v>
      </c>
      <c r="G44" s="22">
        <v>0.08</v>
      </c>
      <c r="H44" s="22"/>
      <c r="I44" s="22">
        <v>0.06</v>
      </c>
      <c r="J44" s="22"/>
      <c r="K44" s="22"/>
      <c r="L44" s="22"/>
      <c r="M44" s="22">
        <v>0</v>
      </c>
      <c r="N44" s="22">
        <f t="shared" si="0"/>
        <v>0.91999999999999993</v>
      </c>
    </row>
    <row r="45" spans="1:14" ht="16.5" x14ac:dyDescent="0.3">
      <c r="A45" s="19" t="s">
        <v>52</v>
      </c>
      <c r="B45" s="19" t="s">
        <v>12</v>
      </c>
      <c r="C45" s="22">
        <v>0.54</v>
      </c>
      <c r="D45" s="22">
        <v>0.1</v>
      </c>
      <c r="E45" s="22">
        <v>0.06</v>
      </c>
      <c r="F45" s="22">
        <v>0.12</v>
      </c>
      <c r="G45" s="22">
        <v>0.04</v>
      </c>
      <c r="H45" s="22"/>
      <c r="I45" s="22">
        <v>0.02</v>
      </c>
      <c r="J45" s="22"/>
      <c r="K45" s="22"/>
      <c r="L45" s="22"/>
      <c r="M45" s="22">
        <v>0</v>
      </c>
      <c r="N45" s="22">
        <f t="shared" si="0"/>
        <v>0.88</v>
      </c>
    </row>
    <row r="46" spans="1:14" ht="16.5" x14ac:dyDescent="0.3">
      <c r="A46" s="19" t="s">
        <v>53</v>
      </c>
      <c r="B46" s="19" t="s">
        <v>14</v>
      </c>
      <c r="C46" s="22">
        <v>0.54</v>
      </c>
      <c r="D46" s="22">
        <v>0.1</v>
      </c>
      <c r="E46" s="22">
        <v>0.06</v>
      </c>
      <c r="F46" s="22">
        <v>0.12</v>
      </c>
      <c r="G46" s="22">
        <v>0.04</v>
      </c>
      <c r="H46" s="22"/>
      <c r="I46" s="22">
        <v>0.02</v>
      </c>
      <c r="J46" s="22"/>
      <c r="K46" s="22"/>
      <c r="L46" s="22"/>
      <c r="M46" s="22">
        <v>0</v>
      </c>
      <c r="N46" s="22">
        <f t="shared" si="0"/>
        <v>0.88</v>
      </c>
    </row>
    <row r="47" spans="1:14" ht="16.5" x14ac:dyDescent="0.3">
      <c r="A47" s="19" t="s">
        <v>54</v>
      </c>
      <c r="B47" s="19" t="s">
        <v>12</v>
      </c>
      <c r="C47" s="22">
        <v>0.14000000000000001</v>
      </c>
      <c r="D47" s="22">
        <v>0.2</v>
      </c>
      <c r="E47" s="22">
        <v>0.12</v>
      </c>
      <c r="F47" s="22">
        <v>0.24</v>
      </c>
      <c r="G47" s="22">
        <v>0.03</v>
      </c>
      <c r="H47" s="22"/>
      <c r="I47" s="22">
        <v>0.16</v>
      </c>
      <c r="J47" s="22"/>
      <c r="K47" s="22"/>
      <c r="L47" s="22"/>
      <c r="M47" s="22">
        <v>0</v>
      </c>
      <c r="N47" s="22">
        <f t="shared" si="0"/>
        <v>0.89</v>
      </c>
    </row>
    <row r="48" spans="1:14" ht="16.5" x14ac:dyDescent="0.3">
      <c r="A48" s="19" t="s">
        <v>55</v>
      </c>
      <c r="B48" s="19" t="s">
        <v>14</v>
      </c>
      <c r="C48" s="22">
        <v>0.54</v>
      </c>
      <c r="D48" s="22">
        <v>0.13</v>
      </c>
      <c r="E48" s="22">
        <v>7.0000000000000007E-2</v>
      </c>
      <c r="F48" s="22">
        <v>0.11</v>
      </c>
      <c r="G48" s="22">
        <v>0.03</v>
      </c>
      <c r="H48" s="22"/>
      <c r="I48" s="22">
        <v>0.05</v>
      </c>
      <c r="J48" s="22"/>
      <c r="K48" s="22"/>
      <c r="L48" s="22"/>
      <c r="M48" s="22">
        <v>0</v>
      </c>
      <c r="N48" s="22">
        <f t="shared" si="0"/>
        <v>0.93</v>
      </c>
    </row>
    <row r="49" spans="1:19" ht="16.5" x14ac:dyDescent="0.3">
      <c r="A49" s="19" t="s">
        <v>56</v>
      </c>
      <c r="B49" s="19" t="s">
        <v>14</v>
      </c>
      <c r="C49" s="22">
        <v>0.54</v>
      </c>
      <c r="D49" s="22">
        <v>0.1</v>
      </c>
      <c r="E49" s="22">
        <v>0.06</v>
      </c>
      <c r="F49" s="22">
        <v>0.12</v>
      </c>
      <c r="G49" s="22">
        <v>0.04</v>
      </c>
      <c r="H49" s="22"/>
      <c r="I49" s="22">
        <v>0.02</v>
      </c>
      <c r="J49" s="22"/>
      <c r="K49" s="22"/>
      <c r="L49" s="22"/>
      <c r="M49" s="22">
        <v>0</v>
      </c>
      <c r="N49" s="22">
        <f t="shared" si="0"/>
        <v>0.88</v>
      </c>
    </row>
    <row r="50" spans="1:19" ht="16.5" x14ac:dyDescent="0.3">
      <c r="A50" s="19" t="s">
        <v>57</v>
      </c>
      <c r="B50" s="19" t="s">
        <v>58</v>
      </c>
      <c r="C50" s="22">
        <v>0.54</v>
      </c>
      <c r="D50" s="22">
        <v>0.1</v>
      </c>
      <c r="E50" s="22">
        <v>0.06</v>
      </c>
      <c r="F50" s="22">
        <v>0.12</v>
      </c>
      <c r="G50" s="22">
        <v>0.04</v>
      </c>
      <c r="H50" s="22"/>
      <c r="I50" s="22">
        <v>0.02</v>
      </c>
      <c r="J50" s="22"/>
      <c r="K50" s="22"/>
      <c r="L50" s="22"/>
      <c r="M50" s="22">
        <v>0</v>
      </c>
      <c r="N50" s="22">
        <f t="shared" si="0"/>
        <v>0.88</v>
      </c>
    </row>
    <row r="53" spans="1:19" s="54" customFormat="1" ht="23.25" x14ac:dyDescent="0.35">
      <c r="B53" s="55" t="s">
        <v>223</v>
      </c>
      <c r="C53" s="55"/>
      <c r="D53" s="55"/>
      <c r="E53" s="55"/>
      <c r="F53" s="55"/>
      <c r="G53" s="55"/>
      <c r="H53" s="55"/>
      <c r="I53" s="55"/>
      <c r="J53" s="55"/>
      <c r="K53" s="55"/>
      <c r="L53" s="55"/>
      <c r="M53" s="55"/>
      <c r="N53" s="55"/>
      <c r="O53" s="55"/>
      <c r="P53" s="55"/>
      <c r="Q53" s="55"/>
      <c r="R53" s="55"/>
      <c r="S53" s="55"/>
    </row>
    <row r="55" spans="1:19" x14ac:dyDescent="0.25">
      <c r="B55" s="25" t="s">
        <v>84</v>
      </c>
      <c r="C55" s="23"/>
    </row>
    <row r="56" spans="1:19" x14ac:dyDescent="0.25">
      <c r="B56" s="23"/>
      <c r="C56" s="23" t="s">
        <v>86</v>
      </c>
    </row>
    <row r="57" spans="1:19" x14ac:dyDescent="0.25">
      <c r="B57" s="23" t="s">
        <v>87</v>
      </c>
      <c r="C57" s="23"/>
    </row>
    <row r="58" spans="1:19" x14ac:dyDescent="0.25">
      <c r="B58" s="23" t="s">
        <v>85</v>
      </c>
      <c r="C58" s="23">
        <v>1</v>
      </c>
    </row>
    <row r="59" spans="1:19" x14ac:dyDescent="0.25">
      <c r="B59" s="23" t="s">
        <v>212</v>
      </c>
      <c r="C59" s="23">
        <v>2</v>
      </c>
    </row>
    <row r="60" spans="1:19" x14ac:dyDescent="0.25">
      <c r="B60" s="23" t="s">
        <v>433</v>
      </c>
      <c r="C60" s="23">
        <v>3</v>
      </c>
    </row>
    <row r="61" spans="1:19" x14ac:dyDescent="0.25">
      <c r="B61" s="23" t="s">
        <v>434</v>
      </c>
      <c r="C61" s="23">
        <v>4</v>
      </c>
    </row>
    <row r="63" spans="1:19" x14ac:dyDescent="0.25">
      <c r="B63" s="23" t="s">
        <v>114</v>
      </c>
      <c r="C63" s="23"/>
    </row>
    <row r="64" spans="1:19" x14ac:dyDescent="0.25">
      <c r="B64" s="23" t="s">
        <v>106</v>
      </c>
      <c r="C64" s="23" t="s">
        <v>108</v>
      </c>
    </row>
    <row r="65" spans="1:8" x14ac:dyDescent="0.25">
      <c r="B65" s="23" t="s">
        <v>107</v>
      </c>
      <c r="C65" s="23" t="s">
        <v>109</v>
      </c>
    </row>
    <row r="67" spans="1:8" x14ac:dyDescent="0.25">
      <c r="B67" s="23" t="s">
        <v>114</v>
      </c>
      <c r="C67" s="23"/>
    </row>
    <row r="68" spans="1:8" x14ac:dyDescent="0.25">
      <c r="B68" s="23" t="s">
        <v>112</v>
      </c>
      <c r="C68" s="23" t="s">
        <v>115</v>
      </c>
    </row>
    <row r="69" spans="1:8" x14ac:dyDescent="0.25">
      <c r="B69" s="23" t="s">
        <v>113</v>
      </c>
      <c r="C69" s="23" t="s">
        <v>116</v>
      </c>
    </row>
    <row r="72" spans="1:8" x14ac:dyDescent="0.25">
      <c r="B72" s="23" t="s">
        <v>114</v>
      </c>
    </row>
    <row r="73" spans="1:8" x14ac:dyDescent="0.25">
      <c r="B73" s="23" t="s">
        <v>464</v>
      </c>
    </row>
    <row r="74" spans="1:8" x14ac:dyDescent="0.25">
      <c r="B74" s="23" t="s">
        <v>465</v>
      </c>
    </row>
    <row r="76" spans="1:8" x14ac:dyDescent="0.25">
      <c r="C76" t="s">
        <v>85</v>
      </c>
      <c r="D76" t="s">
        <v>212</v>
      </c>
      <c r="E76" t="s">
        <v>433</v>
      </c>
      <c r="F76" t="s">
        <v>434</v>
      </c>
      <c r="G76" t="s">
        <v>153</v>
      </c>
    </row>
    <row r="77" spans="1:8" x14ac:dyDescent="0.25">
      <c r="A77" s="27">
        <v>1</v>
      </c>
      <c r="B77" s="28" t="s">
        <v>227</v>
      </c>
      <c r="C77" s="28">
        <v>0.5</v>
      </c>
      <c r="D77" s="28">
        <v>3.5</v>
      </c>
      <c r="E77" s="28">
        <v>0.25</v>
      </c>
      <c r="F77" s="28">
        <v>3.5</v>
      </c>
      <c r="G77" s="28"/>
      <c r="H77" s="28"/>
    </row>
    <row r="78" spans="1:8" x14ac:dyDescent="0.25">
      <c r="A78">
        <v>2</v>
      </c>
      <c r="B78" s="2" t="s">
        <v>228</v>
      </c>
      <c r="C78" s="2">
        <v>0.98162201892857148</v>
      </c>
      <c r="D78" s="2">
        <v>2.3649565178571423</v>
      </c>
      <c r="E78" s="2">
        <v>0.15530914285714287</v>
      </c>
      <c r="F78" s="2">
        <f>+D78</f>
        <v>2.3649565178571423</v>
      </c>
      <c r="G78" s="2"/>
      <c r="H78" s="2"/>
    </row>
    <row r="79" spans="1:8" x14ac:dyDescent="0.25">
      <c r="A79" s="27">
        <v>3</v>
      </c>
      <c r="B79" s="28" t="s">
        <v>229</v>
      </c>
      <c r="C79" s="28">
        <f>+SUM(C80:C83)</f>
        <v>1.5523809523809524</v>
      </c>
      <c r="D79" s="28">
        <f>+SUM(D80:D83)</f>
        <v>4.5928571428571425</v>
      </c>
      <c r="E79" s="28">
        <f>+SUM(E80:E83)</f>
        <v>2.5797619047619045</v>
      </c>
      <c r="F79" s="28">
        <f>+SUM(F80:F83)</f>
        <v>1.1428571428571426</v>
      </c>
      <c r="G79" s="28"/>
      <c r="H79" s="28"/>
    </row>
    <row r="80" spans="1:8" x14ac:dyDescent="0.25">
      <c r="A80">
        <v>4</v>
      </c>
      <c r="B80" s="2" t="s">
        <v>88</v>
      </c>
      <c r="C80" s="2">
        <v>0.49285714285714288</v>
      </c>
      <c r="D80" s="2">
        <v>0.476190476190476</v>
      </c>
      <c r="E80" s="2">
        <v>0.24642857142857144</v>
      </c>
      <c r="F80" s="2">
        <f>+D80</f>
        <v>0.476190476190476</v>
      </c>
      <c r="G80" s="2"/>
      <c r="H80" s="2"/>
    </row>
    <row r="81" spans="1:8" x14ac:dyDescent="0.25">
      <c r="A81" s="27">
        <v>5</v>
      </c>
      <c r="B81" s="28" t="s">
        <v>89</v>
      </c>
      <c r="C81" s="28">
        <v>0.47619047619047616</v>
      </c>
      <c r="D81" s="28">
        <v>3.45</v>
      </c>
      <c r="E81" s="28">
        <v>2</v>
      </c>
      <c r="F81" s="28">
        <v>0</v>
      </c>
      <c r="G81" s="28"/>
      <c r="H81" s="28"/>
    </row>
    <row r="82" spans="1:8" x14ac:dyDescent="0.25">
      <c r="A82">
        <v>6</v>
      </c>
      <c r="B82" s="2" t="s">
        <v>90</v>
      </c>
      <c r="C82" s="2">
        <v>0.33333333333333331</v>
      </c>
      <c r="D82" s="2">
        <v>0.33333333333333331</v>
      </c>
      <c r="E82" s="2">
        <v>0.16666666666666666</v>
      </c>
      <c r="F82" s="2">
        <v>0.33333333333333331</v>
      </c>
      <c r="G82" s="2"/>
      <c r="H82" s="2"/>
    </row>
    <row r="83" spans="1:8" x14ac:dyDescent="0.25">
      <c r="A83" s="27">
        <v>7</v>
      </c>
      <c r="B83" s="28" t="s">
        <v>91</v>
      </c>
      <c r="C83" s="28">
        <v>0.25</v>
      </c>
      <c r="D83" s="28">
        <v>0.33333333333333331</v>
      </c>
      <c r="E83" s="28">
        <v>0.16666666666666666</v>
      </c>
      <c r="F83" s="28">
        <v>0.33333333333333331</v>
      </c>
      <c r="G83" s="28"/>
      <c r="H83" s="28"/>
    </row>
    <row r="84" spans="1:8" x14ac:dyDescent="0.25">
      <c r="A84">
        <v>8</v>
      </c>
      <c r="B84" s="2" t="s">
        <v>92</v>
      </c>
      <c r="C84" s="2">
        <v>1</v>
      </c>
      <c r="D84" s="2">
        <v>2</v>
      </c>
      <c r="E84" s="2">
        <v>1</v>
      </c>
      <c r="F84" s="2">
        <v>1</v>
      </c>
      <c r="G84" s="2"/>
      <c r="H84" s="2"/>
    </row>
    <row r="85" spans="1:8" x14ac:dyDescent="0.25">
      <c r="A85" s="27">
        <v>9</v>
      </c>
      <c r="B85" s="28" t="s">
        <v>93</v>
      </c>
      <c r="C85" s="28">
        <v>1</v>
      </c>
      <c r="D85" s="28">
        <v>1</v>
      </c>
      <c r="E85" s="28">
        <v>0</v>
      </c>
      <c r="F85" s="28">
        <v>1</v>
      </c>
      <c r="G85" s="28"/>
      <c r="H85" s="28"/>
    </row>
    <row r="86" spans="1:8" x14ac:dyDescent="0.25">
      <c r="A86">
        <v>10</v>
      </c>
      <c r="B86" s="38" t="s">
        <v>94</v>
      </c>
      <c r="C86" s="39">
        <v>0.1</v>
      </c>
      <c r="D86" s="39">
        <v>0.1</v>
      </c>
      <c r="E86" s="39">
        <v>0.1</v>
      </c>
      <c r="F86" s="39">
        <v>0.1</v>
      </c>
      <c r="G86" s="39"/>
      <c r="H86" s="39"/>
    </row>
    <row r="87" spans="1:8" x14ac:dyDescent="0.25">
      <c r="A87" s="27">
        <v>11</v>
      </c>
      <c r="B87" s="28" t="s">
        <v>230</v>
      </c>
      <c r="C87" s="28">
        <v>12</v>
      </c>
      <c r="D87" s="28">
        <v>12</v>
      </c>
      <c r="E87" s="28">
        <v>2</v>
      </c>
      <c r="F87" s="28">
        <v>12</v>
      </c>
      <c r="G87" s="28"/>
      <c r="H87" s="28"/>
    </row>
    <row r="88" spans="1:8" x14ac:dyDescent="0.25">
      <c r="A88">
        <v>12</v>
      </c>
      <c r="B88" s="2" t="s">
        <v>224</v>
      </c>
      <c r="C88" s="2">
        <v>0.05</v>
      </c>
      <c r="D88" s="2">
        <v>0.08</v>
      </c>
      <c r="E88" s="2">
        <v>0</v>
      </c>
      <c r="F88" s="2">
        <f>+D88</f>
        <v>0.08</v>
      </c>
      <c r="G88" s="2"/>
      <c r="H88" s="2"/>
    </row>
    <row r="89" spans="1:8" x14ac:dyDescent="0.25">
      <c r="A89" s="27">
        <v>13</v>
      </c>
      <c r="B89" s="28" t="s">
        <v>269</v>
      </c>
      <c r="C89" s="28">
        <v>2.1</v>
      </c>
      <c r="D89" s="28">
        <v>3.36</v>
      </c>
      <c r="E89" s="28">
        <v>0</v>
      </c>
      <c r="F89" s="28">
        <f>+D89</f>
        <v>3.36</v>
      </c>
      <c r="G89" s="28"/>
      <c r="H89" s="28"/>
    </row>
    <row r="90" spans="1:8" x14ac:dyDescent="0.25">
      <c r="A90">
        <v>14</v>
      </c>
      <c r="B90" s="2" t="s">
        <v>225</v>
      </c>
      <c r="C90" s="2">
        <v>6</v>
      </c>
      <c r="D90" s="2">
        <v>8</v>
      </c>
      <c r="E90" s="2">
        <v>4</v>
      </c>
      <c r="F90" s="2">
        <v>8</v>
      </c>
      <c r="G90" s="2"/>
      <c r="H90" s="2"/>
    </row>
    <row r="91" spans="1:8" x14ac:dyDescent="0.25">
      <c r="A91" s="27">
        <v>15</v>
      </c>
      <c r="B91" s="28" t="s">
        <v>226</v>
      </c>
      <c r="C91" s="28">
        <v>42</v>
      </c>
      <c r="D91" s="28">
        <v>42</v>
      </c>
      <c r="E91" s="28">
        <v>10</v>
      </c>
      <c r="F91" s="28">
        <v>42</v>
      </c>
      <c r="G91" s="28"/>
      <c r="H91" s="28"/>
    </row>
    <row r="92" spans="1:8" x14ac:dyDescent="0.25">
      <c r="A92">
        <v>16</v>
      </c>
      <c r="B92" s="2" t="s">
        <v>231</v>
      </c>
      <c r="C92" s="2">
        <v>2.86</v>
      </c>
      <c r="D92" s="2">
        <v>27.6</v>
      </c>
      <c r="E92" s="2">
        <v>0.98571428571428577</v>
      </c>
      <c r="F92" s="2">
        <v>27.6</v>
      </c>
      <c r="G92" s="2"/>
      <c r="H92" s="2"/>
    </row>
    <row r="93" spans="1:8" x14ac:dyDescent="0.25">
      <c r="A93" s="27">
        <v>17</v>
      </c>
      <c r="B93" s="28" t="s">
        <v>232</v>
      </c>
      <c r="C93" s="28">
        <v>20</v>
      </c>
      <c r="D93" s="28">
        <v>20</v>
      </c>
      <c r="E93" s="28">
        <v>20</v>
      </c>
      <c r="F93" s="28">
        <f>+D93</f>
        <v>20</v>
      </c>
      <c r="G93" s="28"/>
      <c r="H93" s="28"/>
    </row>
    <row r="94" spans="1:8" x14ac:dyDescent="0.25">
      <c r="A94">
        <v>18</v>
      </c>
      <c r="B94" s="2" t="s">
        <v>234</v>
      </c>
      <c r="C94" s="2">
        <f>7290.25038364943*IF('Datos Generales'!$K$15&gt;1,'Datos Generales'!$K$15,1)</f>
        <v>7290.2503836494298</v>
      </c>
      <c r="D94" s="2">
        <f>29161.0015345977*IF('Datos Generales'!$K$15&gt;1,'Datos Generales'!$K$15,1)</f>
        <v>29161.001534597701</v>
      </c>
      <c r="E94" s="2">
        <f>364.512519182471*IF('Datos Generales'!$K$15&gt;1,'Datos Generales'!$K$15,1)</f>
        <v>364.51251918247101</v>
      </c>
      <c r="F94" s="29">
        <f>+D94*IF('Datos Generales'!$K$15&gt;1,'Datos Generales'!$K$15,1)</f>
        <v>29161.001534597701</v>
      </c>
      <c r="G94" s="29">
        <f>320*IF('Datos Generales'!$K$15&gt;1,'Datos Generales'!$K$15,1)</f>
        <v>320</v>
      </c>
      <c r="H94" s="29"/>
    </row>
    <row r="95" spans="1:8" x14ac:dyDescent="0.25">
      <c r="A95" s="27">
        <v>19</v>
      </c>
      <c r="B95" s="28" t="s">
        <v>235</v>
      </c>
      <c r="C95" s="28">
        <f>+IF('Datos Generales'!$K$11="Moneda local",'Datos Generales'!$K$13*IF('Datos Generales'!$K$15&gt;1,'Datos Generales'!$K$15,1)*ReferenciasP!C94,ReferenciasP!C94)</f>
        <v>7290.2503836494298</v>
      </c>
      <c r="D95" s="28">
        <f>+IF('Datos Generales'!$K$11="Moneda local",'Datos Generales'!$K$13*IF('Datos Generales'!$K$15&gt;1,'Datos Generales'!$K$15,1)*ReferenciasP!D94,ReferenciasP!D94)</f>
        <v>29161.001534597701</v>
      </c>
      <c r="E95" s="28">
        <f>+IF('Datos Generales'!$K$11="Moneda local",'Datos Generales'!$K$13*IF('Datos Generales'!$K$15&gt;1,'Datos Generales'!$K$15,1)*ReferenciasP!E94,ReferenciasP!E94)</f>
        <v>364.51251918247101</v>
      </c>
      <c r="F95" s="28">
        <f>+IF('Datos Generales'!$K$11="Moneda local",'Datos Generales'!$K$13*IF('Datos Generales'!$K$15&gt;1,'Datos Generales'!$K$15,1)*ReferenciasP!F94,ReferenciasP!F94)</f>
        <v>29161.001534597701</v>
      </c>
      <c r="G95" s="28">
        <f>+IF('Datos Generales'!$K$11="Moneda local",'Datos Generales'!$K$13*IF('Datos Generales'!$K$15&gt;1,'Datos Generales'!$K$15,1)*ReferenciasP!G94,ReferenciasP!G94)</f>
        <v>320</v>
      </c>
      <c r="H95" s="28"/>
    </row>
    <row r="96" spans="1:8" x14ac:dyDescent="0.25">
      <c r="A96">
        <v>20</v>
      </c>
      <c r="B96" s="2" t="s">
        <v>239</v>
      </c>
      <c r="C96" s="26">
        <v>0.01</v>
      </c>
      <c r="D96" s="26">
        <v>0.01</v>
      </c>
      <c r="E96" s="26">
        <v>0.01</v>
      </c>
      <c r="F96" s="26">
        <f>+D96</f>
        <v>0.01</v>
      </c>
    </row>
    <row r="97" spans="1:19" x14ac:dyDescent="0.25">
      <c r="A97" s="27">
        <v>21</v>
      </c>
      <c r="B97" s="28" t="s">
        <v>238</v>
      </c>
      <c r="C97" s="30">
        <v>0.08</v>
      </c>
      <c r="D97" s="30">
        <v>0.08</v>
      </c>
      <c r="E97" s="30">
        <v>0.02</v>
      </c>
      <c r="F97" s="30">
        <f>+D97</f>
        <v>0.08</v>
      </c>
      <c r="G97" s="27"/>
      <c r="H97" s="27"/>
    </row>
    <row r="98" spans="1:19" x14ac:dyDescent="0.25">
      <c r="A98">
        <v>14</v>
      </c>
      <c r="B98" s="2" t="s">
        <v>270</v>
      </c>
      <c r="C98">
        <v>0.3</v>
      </c>
      <c r="D98">
        <v>0.48</v>
      </c>
    </row>
    <row r="99" spans="1:19" x14ac:dyDescent="0.25">
      <c r="A99" s="27">
        <v>15</v>
      </c>
      <c r="B99" s="28" t="s">
        <v>271</v>
      </c>
      <c r="C99" s="31">
        <f>+C98/C89</f>
        <v>0.14285714285714285</v>
      </c>
      <c r="D99" s="31">
        <f>+D98/D89</f>
        <v>0.14285714285714285</v>
      </c>
      <c r="E99" s="27"/>
      <c r="F99" s="27"/>
      <c r="G99" s="27"/>
      <c r="H99" s="27"/>
    </row>
    <row r="100" spans="1:19" x14ac:dyDescent="0.25">
      <c r="C100" s="29"/>
    </row>
    <row r="102" spans="1:19" x14ac:dyDescent="0.25">
      <c r="C102">
        <f>29/249000</f>
        <v>1.1646586345381526E-4</v>
      </c>
    </row>
    <row r="103" spans="1:19" x14ac:dyDescent="0.25">
      <c r="B103" t="s">
        <v>233</v>
      </c>
    </row>
    <row r="104" spans="1:19" x14ac:dyDescent="0.25">
      <c r="B104" t="s">
        <v>98</v>
      </c>
      <c r="C104">
        <v>26</v>
      </c>
    </row>
    <row r="105" spans="1:19" x14ac:dyDescent="0.25">
      <c r="B105" t="s">
        <v>99</v>
      </c>
      <c r="C105">
        <v>2</v>
      </c>
    </row>
    <row r="106" spans="1:19" x14ac:dyDescent="0.25">
      <c r="B106" t="s">
        <v>100</v>
      </c>
      <c r="C106">
        <v>8</v>
      </c>
    </row>
    <row r="107" spans="1:19" x14ac:dyDescent="0.25">
      <c r="B107" t="s">
        <v>101</v>
      </c>
      <c r="C107">
        <v>1</v>
      </c>
    </row>
    <row r="112" spans="1:19" s="54" customFormat="1" ht="23.25" x14ac:dyDescent="0.35">
      <c r="B112" s="55" t="s">
        <v>304</v>
      </c>
      <c r="C112" s="55"/>
      <c r="D112" s="55"/>
      <c r="E112" s="55"/>
      <c r="F112" s="55"/>
      <c r="G112" s="55"/>
      <c r="H112" s="55"/>
      <c r="I112" s="55"/>
      <c r="J112" s="55"/>
      <c r="K112" s="55"/>
      <c r="L112" s="55"/>
      <c r="M112" s="55"/>
      <c r="N112" s="55"/>
      <c r="O112" s="55"/>
      <c r="P112" s="55"/>
      <c r="Q112" s="55"/>
      <c r="R112" s="55"/>
      <c r="S112" s="55"/>
    </row>
    <row r="114" spans="1:5" x14ac:dyDescent="0.25">
      <c r="B114" s="27" t="s">
        <v>325</v>
      </c>
      <c r="C114" s="27">
        <f>+IF('Datos Generales'!$K$15&gt;1,'Datos Generales'!$K$15,1)</f>
        <v>1</v>
      </c>
    </row>
    <row r="117" spans="1:5" x14ac:dyDescent="0.25">
      <c r="B117" s="13" t="s">
        <v>707</v>
      </c>
      <c r="C117" s="53" t="e">
        <f>'C.Prestador'!C117/12</f>
        <v>#DIV/0!</v>
      </c>
      <c r="D117" s="13" t="s">
        <v>715</v>
      </c>
      <c r="E117" s="4">
        <f>+IF('Datos Prestador'!O158="",'Datos Prestador'!P158,'Datos Prestador'!O158)</f>
        <v>1</v>
      </c>
    </row>
    <row r="118" spans="1:5" x14ac:dyDescent="0.25">
      <c r="B118" s="13" t="s">
        <v>708</v>
      </c>
      <c r="C118" s="53" t="e">
        <f>+C117/26</f>
        <v>#DIV/0!</v>
      </c>
      <c r="D118" s="13" t="s">
        <v>717</v>
      </c>
      <c r="E118" s="611">
        <f>+IF(OR('C.Recicladores'!C11='C.Recicladores'!C9,'C.Recicladores'!C11='C.Recicladores'!C8),5%,10%)</f>
        <v>0.05</v>
      </c>
    </row>
    <row r="119" spans="1:5" x14ac:dyDescent="0.25">
      <c r="B119" s="13" t="s">
        <v>709</v>
      </c>
      <c r="C119" s="53" t="e">
        <f>+C118/(IF('Datos Prestador'!O158="",'Datos Prestador'!P158,'Datos Prestador'!O158)*IF('Datos Prestador'!O159="",'Datos Prestador'!P159,'Datos Prestador'!O159))</f>
        <v>#DIV/0!</v>
      </c>
      <c r="D119" s="13" t="s">
        <v>718</v>
      </c>
      <c r="E119" s="612">
        <v>0.3</v>
      </c>
    </row>
    <row r="120" spans="1:5" x14ac:dyDescent="0.25">
      <c r="B120" t="s">
        <v>307</v>
      </c>
      <c r="C120" s="3" t="s">
        <v>329</v>
      </c>
      <c r="D120" s="3" t="s">
        <v>331</v>
      </c>
      <c r="E120" s="3" t="s">
        <v>336</v>
      </c>
    </row>
    <row r="121" spans="1:5" x14ac:dyDescent="0.25">
      <c r="A121">
        <v>2</v>
      </c>
      <c r="B121" s="28" t="s">
        <v>341</v>
      </c>
      <c r="C121" s="607">
        <v>33.799999999999997</v>
      </c>
      <c r="D121" s="607">
        <f>6.9141*1+215.89</f>
        <v>222.80409999999998</v>
      </c>
      <c r="E121" s="607" t="e">
        <f>+IF(C118&lt;1600,6.0661*1+317.1,6.0234*1+345.63)</f>
        <v>#DIV/0!</v>
      </c>
    </row>
    <row r="122" spans="1:5" x14ac:dyDescent="0.25">
      <c r="A122">
        <v>3</v>
      </c>
      <c r="B122" s="2" t="s">
        <v>310</v>
      </c>
      <c r="C122" s="2">
        <v>0.25</v>
      </c>
      <c r="D122" s="2">
        <v>0.25</v>
      </c>
      <c r="E122" s="2">
        <v>0.5</v>
      </c>
    </row>
    <row r="123" spans="1:5" x14ac:dyDescent="0.25">
      <c r="A123">
        <v>4</v>
      </c>
      <c r="B123" s="28" t="s">
        <v>308</v>
      </c>
      <c r="C123" s="28">
        <v>0.05</v>
      </c>
      <c r="D123" s="28">
        <v>0.1</v>
      </c>
      <c r="E123" s="28">
        <v>0.3</v>
      </c>
    </row>
    <row r="124" spans="1:5" x14ac:dyDescent="0.25">
      <c r="A124">
        <v>5</v>
      </c>
      <c r="B124" s="603" t="s">
        <v>309</v>
      </c>
      <c r="C124" s="603">
        <f>+IF('Datos Prestador'!G203&gt;0,2.43,0.22)+IF(SUM('Datos Prestador'!G205:G208)&gt;0,SUM('Datos Prestador'!G205:G208))</f>
        <v>0.22</v>
      </c>
      <c r="D124" s="603">
        <f>+IF(OR('Datos Prestador'!G203="",'Datos Prestador'!G203&gt;0),2.43,0)+IF(SUM('Datos Prestador'!G205:G208)&gt;0,SUM('Datos Prestador'!G205:G208),0)</f>
        <v>2.4300000000000002</v>
      </c>
      <c r="E124" s="603" t="e">
        <f>+D124+SUM('C.Prestador'!F112:F115)/'C.Prestador'!C114</f>
        <v>#DIV/0!</v>
      </c>
    </row>
    <row r="125" spans="1:5" x14ac:dyDescent="0.25">
      <c r="A125">
        <v>6</v>
      </c>
      <c r="B125" s="28" t="s">
        <v>312</v>
      </c>
      <c r="C125" s="28">
        <v>4.05</v>
      </c>
      <c r="D125" s="28">
        <v>4.05</v>
      </c>
      <c r="E125" s="28">
        <v>4.05</v>
      </c>
    </row>
    <row r="126" spans="1:5" x14ac:dyDescent="0.25">
      <c r="A126">
        <v>7</v>
      </c>
      <c r="B126" s="56" t="s">
        <v>64</v>
      </c>
      <c r="C126" s="28">
        <f>+C125*'Datos Generales'!$K$13</f>
        <v>0</v>
      </c>
      <c r="D126" s="28">
        <f>+D125*'Datos Generales'!$K$13*IF('Datos Generales'!$K$15="",1,'Datos Generales'!$K$15)</f>
        <v>0</v>
      </c>
      <c r="E126" s="28">
        <f>+E125*'Datos Generales'!$K$13*IF('Datos Generales'!$K$15="",1,'Datos Generales'!$K$15)</f>
        <v>0</v>
      </c>
    </row>
    <row r="127" spans="1:5" x14ac:dyDescent="0.25">
      <c r="A127">
        <v>8</v>
      </c>
      <c r="B127" s="2" t="s">
        <v>205</v>
      </c>
      <c r="C127" s="57">
        <v>0.02</v>
      </c>
      <c r="D127" s="57">
        <v>0.02</v>
      </c>
      <c r="E127" s="57">
        <v>0.02</v>
      </c>
    </row>
    <row r="128" spans="1:5" x14ac:dyDescent="0.25">
      <c r="A128">
        <v>9</v>
      </c>
      <c r="B128" s="28" t="s">
        <v>313</v>
      </c>
      <c r="C128" s="27">
        <f>(1.82*C114)</f>
        <v>1.82</v>
      </c>
      <c r="D128" s="27">
        <f>1.82*(+IF('Datos Generales'!$K$15&gt;1,'Datos Generales'!$K$15,1))</f>
        <v>1.82</v>
      </c>
      <c r="E128" s="27">
        <f>1.82*(+IF('Datos Generales'!$K$15&gt;1,'Datos Generales'!$K$15,1))</f>
        <v>1.82</v>
      </c>
    </row>
    <row r="129" spans="1:18" x14ac:dyDescent="0.25">
      <c r="A129">
        <v>10</v>
      </c>
      <c r="B129" s="56" t="s">
        <v>64</v>
      </c>
      <c r="C129" s="28">
        <f>+C128*'Datos Generales'!$K$13</f>
        <v>0</v>
      </c>
      <c r="D129" s="28">
        <f>+D128*'Datos Generales'!$K$13</f>
        <v>0</v>
      </c>
      <c r="E129" s="28">
        <f>+E128*'Datos Generales'!$K$13</f>
        <v>0</v>
      </c>
      <c r="I129" s="29"/>
    </row>
    <row r="130" spans="1:18" x14ac:dyDescent="0.25">
      <c r="A130">
        <v>11</v>
      </c>
      <c r="B130" s="2" t="s">
        <v>201</v>
      </c>
      <c r="C130" s="57">
        <v>0.05</v>
      </c>
      <c r="D130" s="57">
        <v>0.05</v>
      </c>
      <c r="E130" s="57">
        <v>0.05</v>
      </c>
    </row>
    <row r="131" spans="1:18" x14ac:dyDescent="0.25">
      <c r="A131">
        <v>12</v>
      </c>
      <c r="B131" s="28" t="s">
        <v>202</v>
      </c>
      <c r="C131" s="58">
        <v>0.02</v>
      </c>
      <c r="D131" s="58">
        <v>0.02</v>
      </c>
      <c r="E131" s="58">
        <v>0.02</v>
      </c>
    </row>
    <row r="132" spans="1:18" x14ac:dyDescent="0.25">
      <c r="A132">
        <v>13</v>
      </c>
      <c r="B132" s="2" t="s">
        <v>311</v>
      </c>
      <c r="C132" s="57">
        <v>0.14000000000000001</v>
      </c>
      <c r="D132" s="57">
        <v>0.14000000000000001</v>
      </c>
      <c r="E132" s="57">
        <v>0.14000000000000001</v>
      </c>
    </row>
    <row r="133" spans="1:18" x14ac:dyDescent="0.25">
      <c r="A133">
        <v>14</v>
      </c>
      <c r="B133" t="s">
        <v>356</v>
      </c>
      <c r="C133">
        <v>1</v>
      </c>
      <c r="D133">
        <v>1</v>
      </c>
      <c r="E133">
        <v>1</v>
      </c>
    </row>
    <row r="135" spans="1:18" x14ac:dyDescent="0.25">
      <c r="C135" s="906" t="s">
        <v>306</v>
      </c>
      <c r="D135" s="907"/>
      <c r="E135" s="907"/>
      <c r="F135" s="907"/>
      <c r="G135" s="908"/>
      <c r="H135" s="906" t="s">
        <v>323</v>
      </c>
      <c r="I135" s="907"/>
      <c r="J135" s="907"/>
      <c r="K135" s="907"/>
      <c r="L135" s="908"/>
      <c r="M135" s="906" t="s">
        <v>324</v>
      </c>
      <c r="N135" s="907"/>
      <c r="O135" s="907"/>
      <c r="P135" s="907"/>
      <c r="Q135" s="908"/>
      <c r="R135" s="59"/>
    </row>
    <row r="136" spans="1:18" x14ac:dyDescent="0.25">
      <c r="C136" s="3" t="s">
        <v>329</v>
      </c>
      <c r="D136" s="3" t="s">
        <v>327</v>
      </c>
      <c r="E136" s="3" t="s">
        <v>328</v>
      </c>
      <c r="F136" s="3" t="s">
        <v>326</v>
      </c>
      <c r="G136" s="3" t="s">
        <v>330</v>
      </c>
      <c r="H136" s="3" t="s">
        <v>331</v>
      </c>
      <c r="I136" s="3" t="s">
        <v>332</v>
      </c>
      <c r="J136" s="3" t="s">
        <v>333</v>
      </c>
      <c r="K136" s="3" t="s">
        <v>334</v>
      </c>
      <c r="L136" s="3" t="s">
        <v>335</v>
      </c>
      <c r="M136" s="3" t="s">
        <v>336</v>
      </c>
      <c r="N136" s="3" t="s">
        <v>337</v>
      </c>
      <c r="O136" s="3" t="s">
        <v>338</v>
      </c>
      <c r="P136" s="3" t="s">
        <v>339</v>
      </c>
      <c r="Q136" s="3" t="s">
        <v>340</v>
      </c>
      <c r="R136" s="3"/>
    </row>
    <row r="137" spans="1:18" x14ac:dyDescent="0.25">
      <c r="A137">
        <v>2</v>
      </c>
      <c r="B137" s="603" t="s">
        <v>315</v>
      </c>
      <c r="C137" s="604">
        <v>1</v>
      </c>
      <c r="D137" s="605">
        <f>1200*(+IF('Datos Generales'!$K$15&gt;1,'Datos Generales'!$K$15,1))</f>
        <v>1200</v>
      </c>
      <c r="E137" s="605">
        <f>+D137*C137</f>
        <v>1200</v>
      </c>
      <c r="F137" s="605">
        <f>+D137*'Datos Generales'!$K$13</f>
        <v>0</v>
      </c>
      <c r="G137" s="606">
        <f>+F137*C137</f>
        <v>0</v>
      </c>
      <c r="H137" s="604">
        <v>1</v>
      </c>
      <c r="I137" s="605">
        <f>5000*(+IF('Datos Generales'!$K$15&gt;1,'Datos Generales'!$K$15,1))</f>
        <v>5000</v>
      </c>
      <c r="J137" s="605">
        <f>+I137*H137</f>
        <v>5000</v>
      </c>
      <c r="K137" s="605">
        <f>+I137*'Datos Generales'!$K$13</f>
        <v>0</v>
      </c>
      <c r="L137" s="606">
        <f>+K137*H137</f>
        <v>0</v>
      </c>
      <c r="M137" s="604">
        <v>1</v>
      </c>
      <c r="N137" s="605">
        <v>0</v>
      </c>
      <c r="O137" s="605">
        <f>+N137*M137</f>
        <v>0</v>
      </c>
      <c r="P137" s="605">
        <f>+N137*'Datos Generales'!$K$13</f>
        <v>0</v>
      </c>
      <c r="Q137" s="606">
        <f>+P137*M137</f>
        <v>0</v>
      </c>
      <c r="R137" s="3"/>
    </row>
    <row r="138" spans="1:18" x14ac:dyDescent="0.25">
      <c r="A138">
        <v>3</v>
      </c>
      <c r="B138" s="600" t="s">
        <v>168</v>
      </c>
      <c r="C138" s="601"/>
      <c r="D138" s="601"/>
      <c r="E138" s="601"/>
      <c r="F138" s="601"/>
      <c r="G138" s="601"/>
      <c r="H138" s="601"/>
      <c r="I138" s="601"/>
      <c r="J138" s="601"/>
      <c r="K138" s="601"/>
      <c r="L138" s="601"/>
      <c r="M138" s="601"/>
      <c r="N138" s="601"/>
      <c r="O138" s="601"/>
      <c r="P138" s="601"/>
      <c r="Q138" s="602"/>
      <c r="R138" s="3"/>
    </row>
    <row r="139" spans="1:18" x14ac:dyDescent="0.25">
      <c r="A139">
        <v>4</v>
      </c>
      <c r="B139" s="607" t="s">
        <v>316</v>
      </c>
      <c r="C139" s="608" t="e">
        <f>9+C140*0.1</f>
        <v>#DIV/0!</v>
      </c>
      <c r="D139" s="609">
        <f>3.64512519182471*(+IF('Datos Generales'!$K$15&gt;1,'Datos Generales'!$K$15,1))</f>
        <v>3.6451251918247101</v>
      </c>
      <c r="E139" s="609" t="e">
        <f t="shared" ref="E139:E163" si="1">+D139*C139</f>
        <v>#DIV/0!</v>
      </c>
      <c r="F139" s="609">
        <f>+D139*'Datos Generales'!$K$13</f>
        <v>0</v>
      </c>
      <c r="G139" s="610" t="e">
        <f t="shared" ref="G139:G163" si="2">+F139*C139</f>
        <v>#DIV/0!</v>
      </c>
      <c r="H139" s="608" t="e">
        <f>16+H140*0.03</f>
        <v>#DIV/0!</v>
      </c>
      <c r="I139" s="609">
        <f>3.64512519182471*(+IF('Datos Generales'!$K$15&gt;1,'Datos Generales'!$K$15,1))</f>
        <v>3.6451251918247101</v>
      </c>
      <c r="J139" s="609" t="e">
        <f t="shared" ref="J139:J163" si="3">+I139*H139</f>
        <v>#DIV/0!</v>
      </c>
      <c r="K139" s="609">
        <f>+I139*'Datos Generales'!$K$13</f>
        <v>0</v>
      </c>
      <c r="L139" s="610" t="e">
        <f t="shared" ref="L139:L163" si="4">+K139*H139</f>
        <v>#DIV/0!</v>
      </c>
      <c r="M139" s="608" t="e">
        <f>25+M140*0.02</f>
        <v>#DIV/0!</v>
      </c>
      <c r="N139" s="609">
        <v>3.6451251918247132</v>
      </c>
      <c r="O139" s="609" t="e">
        <f t="shared" ref="O139:O163" si="5">+N139*M139</f>
        <v>#DIV/0!</v>
      </c>
      <c r="P139" s="609">
        <f>+N139*'Datos Generales'!$K$13</f>
        <v>0</v>
      </c>
      <c r="Q139" s="610" t="e">
        <f t="shared" ref="Q139:Q163" si="6">+P139*M139</f>
        <v>#DIV/0!</v>
      </c>
      <c r="R139" s="3"/>
    </row>
    <row r="140" spans="1:18" x14ac:dyDescent="0.25">
      <c r="A140">
        <v>5</v>
      </c>
      <c r="B140" s="603" t="s">
        <v>171</v>
      </c>
      <c r="C140" s="604" t="e">
        <f>C121*C117</f>
        <v>#DIV/0!</v>
      </c>
      <c r="D140" s="605">
        <f>4.00963771100718*(+IF('Datos Generales'!$K$15&gt;1,'Datos Generales'!$K$15,1))</f>
        <v>4.0096377110071799</v>
      </c>
      <c r="E140" s="605" t="e">
        <f t="shared" si="1"/>
        <v>#DIV/0!</v>
      </c>
      <c r="F140" s="605">
        <f>+D140*'Datos Generales'!$K$13</f>
        <v>0</v>
      </c>
      <c r="G140" s="606" t="e">
        <f t="shared" si="2"/>
        <v>#DIV/0!</v>
      </c>
      <c r="H140" s="604" t="e">
        <f>6.9141*C118+215.89</f>
        <v>#DIV/0!</v>
      </c>
      <c r="I140" s="605">
        <f>4.00963771100718*(+IF('Datos Generales'!$K$15&gt;1,'Datos Generales'!$K$15,1))</f>
        <v>4.0096377110071799</v>
      </c>
      <c r="J140" s="605" t="e">
        <f t="shared" si="3"/>
        <v>#DIV/0!</v>
      </c>
      <c r="K140" s="605">
        <f>+I140*'Datos Generales'!$K$13</f>
        <v>0</v>
      </c>
      <c r="L140" s="606" t="e">
        <f t="shared" si="4"/>
        <v>#DIV/0!</v>
      </c>
      <c r="M140" s="604" t="e">
        <f>+IF(C118&lt;1600,6.0661*C118+317.1,6.0234*C118+345.63)</f>
        <v>#DIV/0!</v>
      </c>
      <c r="N140" s="605">
        <v>4.0096377110071844</v>
      </c>
      <c r="O140" s="605" t="e">
        <f t="shared" si="5"/>
        <v>#DIV/0!</v>
      </c>
      <c r="P140" s="605">
        <f>+N140*'Datos Generales'!$K$13</f>
        <v>0</v>
      </c>
      <c r="Q140" s="606" t="e">
        <f t="shared" si="6"/>
        <v>#DIV/0!</v>
      </c>
      <c r="R140" s="3"/>
    </row>
    <row r="141" spans="1:18" x14ac:dyDescent="0.25">
      <c r="A141">
        <v>6</v>
      </c>
      <c r="B141" s="600" t="s">
        <v>317</v>
      </c>
      <c r="C141" s="601"/>
      <c r="D141" s="601">
        <f>0*(+IF('Datos Generales'!$K$15&gt;1,'Datos Generales'!$K$15,1))</f>
        <v>0</v>
      </c>
      <c r="E141" s="601">
        <f t="shared" si="1"/>
        <v>0</v>
      </c>
      <c r="F141" s="601">
        <f>+D141*'Datos Generales'!$K$13</f>
        <v>0</v>
      </c>
      <c r="G141" s="601">
        <f t="shared" si="2"/>
        <v>0</v>
      </c>
      <c r="H141" s="601"/>
      <c r="I141" s="601">
        <f>0*(+IF('Datos Generales'!$K$15&gt;1,'Datos Generales'!$K$15,1))</f>
        <v>0</v>
      </c>
      <c r="J141" s="601">
        <f t="shared" si="3"/>
        <v>0</v>
      </c>
      <c r="K141" s="601">
        <f>+I141*'Datos Generales'!$K$13</f>
        <v>0</v>
      </c>
      <c r="L141" s="601">
        <f t="shared" si="4"/>
        <v>0</v>
      </c>
      <c r="M141" s="601"/>
      <c r="N141" s="601"/>
      <c r="O141" s="601">
        <f t="shared" si="5"/>
        <v>0</v>
      </c>
      <c r="P141" s="601">
        <f>+N141*'Datos Generales'!$K$13</f>
        <v>0</v>
      </c>
      <c r="Q141" s="602">
        <f t="shared" si="6"/>
        <v>0</v>
      </c>
      <c r="R141" s="3"/>
    </row>
    <row r="142" spans="1:18" x14ac:dyDescent="0.25">
      <c r="A142">
        <v>7</v>
      </c>
      <c r="B142" s="607" t="s">
        <v>173</v>
      </c>
      <c r="C142" s="608">
        <v>0</v>
      </c>
      <c r="D142" s="609">
        <f>21870.7511509483*(+IF('Datos Generales'!$K$15&gt;1,'Datos Generales'!$K$15,1))</f>
        <v>21870.751150948301</v>
      </c>
      <c r="E142" s="609">
        <f t="shared" si="1"/>
        <v>0</v>
      </c>
      <c r="F142" s="609">
        <f>+D142*'Datos Generales'!$K$13</f>
        <v>0</v>
      </c>
      <c r="G142" s="610">
        <f t="shared" si="2"/>
        <v>0</v>
      </c>
      <c r="H142" s="608">
        <f>+IF('Datos Prestador'!G148&gt;Referencias!H119,2,1)</f>
        <v>1</v>
      </c>
      <c r="I142" s="609">
        <f>21870.7511509483*(+IF('Datos Generales'!$K$15&gt;1,'Datos Generales'!$K$15,1))</f>
        <v>21870.751150948301</v>
      </c>
      <c r="J142" s="609">
        <f t="shared" si="3"/>
        <v>21870.751150948301</v>
      </c>
      <c r="K142" s="609">
        <f>+I142*'Datos Generales'!$K$13</f>
        <v>0</v>
      </c>
      <c r="L142" s="610">
        <f t="shared" si="4"/>
        <v>0</v>
      </c>
      <c r="M142" s="608">
        <v>2</v>
      </c>
      <c r="N142" s="609">
        <v>21870.751150948279</v>
      </c>
      <c r="O142" s="609">
        <f t="shared" si="5"/>
        <v>43741.502301896558</v>
      </c>
      <c r="P142" s="609">
        <f>+N142*'Datos Generales'!$K$13</f>
        <v>0</v>
      </c>
      <c r="Q142" s="610">
        <f t="shared" si="6"/>
        <v>0</v>
      </c>
      <c r="R142" s="3"/>
    </row>
    <row r="143" spans="1:18" x14ac:dyDescent="0.25">
      <c r="A143">
        <v>8</v>
      </c>
      <c r="B143" s="603" t="s">
        <v>175</v>
      </c>
      <c r="C143" s="604" t="e">
        <f>+ROUNDUP((C118/E117)/3,0)</f>
        <v>#DIV/0!</v>
      </c>
      <c r="D143" s="605">
        <f>164.030633632112*(+IF('Datos Generales'!$K$15&gt;1,'Datos Generales'!$K$15,1))</f>
        <v>164.030633632112</v>
      </c>
      <c r="E143" s="605" t="e">
        <f t="shared" si="1"/>
        <v>#DIV/0!</v>
      </c>
      <c r="F143" s="605">
        <f>+D143*'Datos Generales'!$K$13</f>
        <v>0</v>
      </c>
      <c r="G143" s="606" t="e">
        <f t="shared" si="2"/>
        <v>#DIV/0!</v>
      </c>
      <c r="H143" s="604" t="e">
        <f>+ROUNDUP((C118/E117)/10,0)</f>
        <v>#DIV/0!</v>
      </c>
      <c r="I143" s="605">
        <f>164.030633632112*(+IF('Datos Generales'!$K$15&gt;1,'Datos Generales'!$K$15,1))</f>
        <v>164.030633632112</v>
      </c>
      <c r="J143" s="605" t="e">
        <f t="shared" si="3"/>
        <v>#DIV/0!</v>
      </c>
      <c r="K143" s="605">
        <f>+I143*'Datos Generales'!$K$13</f>
        <v>0</v>
      </c>
      <c r="L143" s="606" t="e">
        <f t="shared" si="4"/>
        <v>#DIV/0!</v>
      </c>
      <c r="M143" s="604" t="e">
        <f>+ROUNDUP((C118/E117)/30,0)</f>
        <v>#DIV/0!</v>
      </c>
      <c r="N143" s="605">
        <v>164.03063363211211</v>
      </c>
      <c r="O143" s="605" t="e">
        <f t="shared" si="5"/>
        <v>#DIV/0!</v>
      </c>
      <c r="P143" s="605">
        <f>+N143*'Datos Generales'!$K$13</f>
        <v>0</v>
      </c>
      <c r="Q143" s="606" t="e">
        <f t="shared" si="6"/>
        <v>#DIV/0!</v>
      </c>
      <c r="R143" s="3"/>
    </row>
    <row r="144" spans="1:18" x14ac:dyDescent="0.25">
      <c r="A144">
        <v>9</v>
      </c>
      <c r="B144" s="607" t="s">
        <v>176</v>
      </c>
      <c r="C144" s="608">
        <v>0</v>
      </c>
      <c r="D144" s="609">
        <f>7654.7629028319*(+IF('Datos Generales'!$K$15&gt;1,'Datos Generales'!$K$15,1))</f>
        <v>7654.7629028318997</v>
      </c>
      <c r="E144" s="609">
        <f t="shared" si="1"/>
        <v>0</v>
      </c>
      <c r="F144" s="609">
        <f>+D144*'Datos Generales'!$K$13</f>
        <v>0</v>
      </c>
      <c r="G144" s="610">
        <f t="shared" si="2"/>
        <v>0</v>
      </c>
      <c r="H144" s="608" t="e">
        <f>+ROUNDUP((C118/E117)/75,0)</f>
        <v>#DIV/0!</v>
      </c>
      <c r="I144" s="609">
        <f>7654.7629028319*(+IF('Datos Generales'!$K$15&gt;1,'Datos Generales'!$K$15,1))</f>
        <v>7654.7629028318997</v>
      </c>
      <c r="J144" s="609" t="e">
        <f t="shared" si="3"/>
        <v>#DIV/0!</v>
      </c>
      <c r="K144" s="609">
        <f>+I144*'Datos Generales'!$K$13</f>
        <v>0</v>
      </c>
      <c r="L144" s="610" t="e">
        <f t="shared" si="4"/>
        <v>#DIV/0!</v>
      </c>
      <c r="M144" s="608" t="e">
        <f>+ROUNDUP((C118/E117)/150,0)</f>
        <v>#DIV/0!</v>
      </c>
      <c r="N144" s="609">
        <v>7654.7629028318979</v>
      </c>
      <c r="O144" s="609" t="e">
        <f t="shared" si="5"/>
        <v>#DIV/0!</v>
      </c>
      <c r="P144" s="609">
        <f>+N144*'Datos Generales'!$K$13</f>
        <v>0</v>
      </c>
      <c r="Q144" s="610" t="e">
        <f t="shared" si="6"/>
        <v>#DIV/0!</v>
      </c>
      <c r="R144" s="3"/>
    </row>
    <row r="145" spans="1:18" x14ac:dyDescent="0.25">
      <c r="A145">
        <v>10</v>
      </c>
      <c r="B145" s="603" t="s">
        <v>716</v>
      </c>
      <c r="C145" s="604" t="e">
        <f>+ROUNDUP((C118*E118*3)/(12*0.4),0)</f>
        <v>#DIV/0!</v>
      </c>
      <c r="D145" s="605">
        <f>473.866274937213*(+IF('Datos Generales'!$K$15&gt;1,'Datos Generales'!$K$15,1))</f>
        <v>473.86627493721301</v>
      </c>
      <c r="E145" s="605" t="e">
        <f t="shared" si="1"/>
        <v>#DIV/0!</v>
      </c>
      <c r="F145" s="605">
        <f>+D145*'Datos Generales'!$K$13</f>
        <v>0</v>
      </c>
      <c r="G145" s="606" t="e">
        <f t="shared" si="2"/>
        <v>#DIV/0!</v>
      </c>
      <c r="H145" s="604" t="e">
        <f>+ROUNDUP((C118*E118*3)/(12*0.4),0)</f>
        <v>#DIV/0!</v>
      </c>
      <c r="I145" s="605">
        <f>473.866274937213*(+IF('Datos Generales'!$K$15&gt;1,'Datos Generales'!$K$15,1))</f>
        <v>473.86627493721301</v>
      </c>
      <c r="J145" s="605" t="e">
        <f t="shared" si="3"/>
        <v>#DIV/0!</v>
      </c>
      <c r="K145" s="605">
        <f>+I145*'Datos Generales'!$K$13</f>
        <v>0</v>
      </c>
      <c r="L145" s="606" t="e">
        <f t="shared" si="4"/>
        <v>#DIV/0!</v>
      </c>
      <c r="M145" s="604" t="e">
        <f>+ROUNDUP((C118*E118*3)/(12*0.4),0)</f>
        <v>#DIV/0!</v>
      </c>
      <c r="N145" s="605">
        <v>473.86627493721272</v>
      </c>
      <c r="O145" s="605" t="e">
        <f t="shared" si="5"/>
        <v>#DIV/0!</v>
      </c>
      <c r="P145" s="605">
        <f>+N145*'Datos Generales'!$K$13</f>
        <v>0</v>
      </c>
      <c r="Q145" s="606" t="e">
        <f t="shared" si="6"/>
        <v>#DIV/0!</v>
      </c>
      <c r="R145" s="3"/>
    </row>
    <row r="146" spans="1:18" x14ac:dyDescent="0.25">
      <c r="A146">
        <v>11</v>
      </c>
      <c r="B146" s="607" t="s">
        <v>178</v>
      </c>
      <c r="C146" s="608" t="e">
        <f>ROUNDUP((C117*2%/4)/0.5,0)</f>
        <v>#DIV/0!</v>
      </c>
      <c r="D146" s="609">
        <f>182.256259591236*(+IF('Datos Generales'!$K$15&gt;1,'Datos Generales'!$K$15,1))</f>
        <v>182.25625959123599</v>
      </c>
      <c r="E146" s="609" t="e">
        <f t="shared" si="1"/>
        <v>#DIV/0!</v>
      </c>
      <c r="F146" s="609">
        <f>+D146*'Datos Generales'!$K$13</f>
        <v>0</v>
      </c>
      <c r="G146" s="610" t="e">
        <f t="shared" si="2"/>
        <v>#DIV/0!</v>
      </c>
      <c r="H146" s="608" t="e">
        <f>ROUNDUP((C117*2%/4)/0.5,0)</f>
        <v>#DIV/0!</v>
      </c>
      <c r="I146" s="609">
        <f>182.256259591236*(+IF('Datos Generales'!$K$15&gt;1,'Datos Generales'!$K$15,1))</f>
        <v>182.25625959123599</v>
      </c>
      <c r="J146" s="609" t="e">
        <f t="shared" si="3"/>
        <v>#DIV/0!</v>
      </c>
      <c r="K146" s="609">
        <f>+I146*'Datos Generales'!$K$13</f>
        <v>0</v>
      </c>
      <c r="L146" s="610" t="e">
        <f t="shared" si="4"/>
        <v>#DIV/0!</v>
      </c>
      <c r="M146" s="608" t="e">
        <f>ROUNDUP((C117*2%/4)/0.5,0)</f>
        <v>#DIV/0!</v>
      </c>
      <c r="N146" s="609">
        <v>182.25625959123568</v>
      </c>
      <c r="O146" s="609" t="e">
        <f t="shared" si="5"/>
        <v>#DIV/0!</v>
      </c>
      <c r="P146" s="609">
        <f>+N146*'Datos Generales'!$K$13</f>
        <v>0</v>
      </c>
      <c r="Q146" s="610" t="e">
        <f t="shared" si="6"/>
        <v>#DIV/0!</v>
      </c>
      <c r="R146" s="3"/>
    </row>
    <row r="147" spans="1:18" x14ac:dyDescent="0.25">
      <c r="A147">
        <v>12</v>
      </c>
      <c r="B147" s="603" t="s">
        <v>179</v>
      </c>
      <c r="C147" s="604">
        <v>0</v>
      </c>
      <c r="D147" s="605">
        <f>1093.53755754741*(+IF('Datos Generales'!$K$15&gt;1,'Datos Generales'!$K$15,1))</f>
        <v>1093.53755754741</v>
      </c>
      <c r="E147" s="605">
        <f t="shared" si="1"/>
        <v>0</v>
      </c>
      <c r="F147" s="605">
        <f>+D147*'Datos Generales'!$K$13</f>
        <v>0</v>
      </c>
      <c r="G147" s="606">
        <f t="shared" si="2"/>
        <v>0</v>
      </c>
      <c r="H147" s="604" t="e">
        <f>(6+0.9*D167)/H144</f>
        <v>#DIV/0!</v>
      </c>
      <c r="I147" s="605">
        <f>1093.53755754741*(+IF('Datos Generales'!$K$15&gt;1,'Datos Generales'!$K$15,1))</f>
        <v>1093.53755754741</v>
      </c>
      <c r="J147" s="605" t="e">
        <f t="shared" si="3"/>
        <v>#DIV/0!</v>
      </c>
      <c r="K147" s="605">
        <f>+I147*'Datos Generales'!$K$13</f>
        <v>0</v>
      </c>
      <c r="L147" s="606" t="e">
        <f t="shared" si="4"/>
        <v>#DIV/0!</v>
      </c>
      <c r="M147" s="604" t="e">
        <f>(10+C119*4.17+10*(M149+M150+M151+M152+M164+M155))/M144</f>
        <v>#DIV/0!</v>
      </c>
      <c r="N147" s="605">
        <v>1093.5375575474141</v>
      </c>
      <c r="O147" s="605" t="e">
        <f t="shared" si="5"/>
        <v>#DIV/0!</v>
      </c>
      <c r="P147" s="605">
        <f>+N147*'Datos Generales'!$K$13</f>
        <v>0</v>
      </c>
      <c r="Q147" s="606" t="e">
        <f t="shared" si="6"/>
        <v>#DIV/0!</v>
      </c>
      <c r="R147" s="3"/>
    </row>
    <row r="148" spans="1:18" x14ac:dyDescent="0.25">
      <c r="A148">
        <v>13</v>
      </c>
      <c r="B148" s="607" t="s">
        <v>318</v>
      </c>
      <c r="C148" s="608">
        <v>0</v>
      </c>
      <c r="D148" s="609">
        <f>18225.6259591236*(+IF('Datos Generales'!$K$15&gt;1,'Datos Generales'!$K$15,1))</f>
        <v>18225.625959123601</v>
      </c>
      <c r="E148" s="609">
        <f t="shared" si="1"/>
        <v>0</v>
      </c>
      <c r="F148" s="609">
        <f>+D148*'Datos Generales'!$K$13</f>
        <v>0</v>
      </c>
      <c r="G148" s="610">
        <f t="shared" si="2"/>
        <v>0</v>
      </c>
      <c r="H148" s="608" t="e">
        <f>+H144</f>
        <v>#DIV/0!</v>
      </c>
      <c r="I148" s="609">
        <f>18225.6259591236*(+IF('Datos Generales'!$K$15&gt;1,'Datos Generales'!$K$15,1))</f>
        <v>18225.625959123601</v>
      </c>
      <c r="J148" s="609" t="e">
        <f t="shared" si="3"/>
        <v>#DIV/0!</v>
      </c>
      <c r="K148" s="609">
        <f>+I148*'Datos Generales'!$K$13</f>
        <v>0</v>
      </c>
      <c r="L148" s="610" t="e">
        <f t="shared" si="4"/>
        <v>#DIV/0!</v>
      </c>
      <c r="M148" s="608" t="e">
        <f>+M144</f>
        <v>#DIV/0!</v>
      </c>
      <c r="N148" s="609">
        <v>18225.625959123568</v>
      </c>
      <c r="O148" s="609" t="e">
        <f t="shared" si="5"/>
        <v>#DIV/0!</v>
      </c>
      <c r="P148" s="609">
        <f>+N148*'Datos Generales'!$K$13</f>
        <v>0</v>
      </c>
      <c r="Q148" s="610" t="e">
        <f t="shared" si="6"/>
        <v>#DIV/0!</v>
      </c>
      <c r="R148" s="3"/>
    </row>
    <row r="149" spans="1:18" x14ac:dyDescent="0.25">
      <c r="A149">
        <v>14</v>
      </c>
      <c r="B149" s="603" t="s">
        <v>319</v>
      </c>
      <c r="C149" s="604">
        <v>0</v>
      </c>
      <c r="D149" s="605">
        <f>95502.2800258075*(+IF('Datos Generales'!$K$15&gt;1,'Datos Generales'!$K$15,1))</f>
        <v>95502.2800258075</v>
      </c>
      <c r="E149" s="605">
        <f t="shared" si="1"/>
        <v>0</v>
      </c>
      <c r="F149" s="605">
        <f>+D149*'Datos Generales'!$K$13</f>
        <v>0</v>
      </c>
      <c r="G149" s="606">
        <f t="shared" si="2"/>
        <v>0</v>
      </c>
      <c r="H149" s="604">
        <v>0</v>
      </c>
      <c r="I149" s="605">
        <f>95502.2800258075*(+IF('Datos Generales'!$K$15&gt;1,'Datos Generales'!$K$15,1))</f>
        <v>95502.2800258075</v>
      </c>
      <c r="J149" s="605">
        <f t="shared" si="3"/>
        <v>0</v>
      </c>
      <c r="K149" s="605">
        <f>+I149*'Datos Generales'!$K$13</f>
        <v>0</v>
      </c>
      <c r="L149" s="606">
        <f t="shared" si="4"/>
        <v>0</v>
      </c>
      <c r="M149" s="604" t="e">
        <f>+M144</f>
        <v>#DIV/0!</v>
      </c>
      <c r="N149" s="605">
        <v>95502.280025807486</v>
      </c>
      <c r="O149" s="605" t="e">
        <f t="shared" si="5"/>
        <v>#DIV/0!</v>
      </c>
      <c r="P149" s="605">
        <f>+N149*'Datos Generales'!$K$13</f>
        <v>0</v>
      </c>
      <c r="Q149" s="606" t="e">
        <f t="shared" si="6"/>
        <v>#DIV/0!</v>
      </c>
      <c r="R149" s="3"/>
    </row>
    <row r="150" spans="1:18" x14ac:dyDescent="0.25">
      <c r="A150">
        <v>15</v>
      </c>
      <c r="B150" s="607" t="s">
        <v>183</v>
      </c>
      <c r="C150" s="608">
        <v>0</v>
      </c>
      <c r="D150" s="609">
        <f>25515.876342773*(+IF('Datos Generales'!$K$15&gt;1,'Datos Generales'!$K$15,1))</f>
        <v>25515.876342773001</v>
      </c>
      <c r="E150" s="609">
        <f t="shared" si="1"/>
        <v>0</v>
      </c>
      <c r="F150" s="609">
        <f>+D150*'Datos Generales'!$K$13</f>
        <v>0</v>
      </c>
      <c r="G150" s="610">
        <f t="shared" si="2"/>
        <v>0</v>
      </c>
      <c r="H150" s="608">
        <v>0</v>
      </c>
      <c r="I150" s="609">
        <f>25515.876342773*(+IF('Datos Generales'!$K$15&gt;1,'Datos Generales'!$K$15,1))</f>
        <v>25515.876342773001</v>
      </c>
      <c r="J150" s="609">
        <f t="shared" si="3"/>
        <v>0</v>
      </c>
      <c r="K150" s="609">
        <f>+I150*'Datos Generales'!$K$13</f>
        <v>0</v>
      </c>
      <c r="L150" s="610">
        <f t="shared" si="4"/>
        <v>0</v>
      </c>
      <c r="M150" s="608" t="e">
        <f>+M144</f>
        <v>#DIV/0!</v>
      </c>
      <c r="N150" s="609">
        <v>25515.876342772994</v>
      </c>
      <c r="O150" s="609" t="e">
        <f t="shared" si="5"/>
        <v>#DIV/0!</v>
      </c>
      <c r="P150" s="609">
        <f>+N150*'Datos Generales'!$K$13</f>
        <v>0</v>
      </c>
      <c r="Q150" s="610" t="e">
        <f t="shared" si="6"/>
        <v>#DIV/0!</v>
      </c>
      <c r="R150" s="3"/>
    </row>
    <row r="151" spans="1:18" x14ac:dyDescent="0.25">
      <c r="A151">
        <v>16</v>
      </c>
      <c r="B151" s="603" t="s">
        <v>184</v>
      </c>
      <c r="C151" s="604">
        <v>0</v>
      </c>
      <c r="D151" s="605">
        <f>318948.454284662*(+IF('Datos Generales'!$K$15&gt;1,'Datos Generales'!$K$15,1))</f>
        <v>318948.45428466197</v>
      </c>
      <c r="E151" s="605">
        <f t="shared" si="1"/>
        <v>0</v>
      </c>
      <c r="F151" s="605">
        <f>+D151*'Datos Generales'!$K$13</f>
        <v>0</v>
      </c>
      <c r="G151" s="606">
        <f t="shared" si="2"/>
        <v>0</v>
      </c>
      <c r="H151" s="604">
        <v>0</v>
      </c>
      <c r="I151" s="605">
        <f>318948.454284662*(+IF('Datos Generales'!$K$15&gt;1,'Datos Generales'!$K$15,1))</f>
        <v>318948.45428466197</v>
      </c>
      <c r="J151" s="605">
        <f t="shared" si="3"/>
        <v>0</v>
      </c>
      <c r="K151" s="605">
        <f>+I151*'Datos Generales'!$K$13</f>
        <v>0</v>
      </c>
      <c r="L151" s="606">
        <f t="shared" si="4"/>
        <v>0</v>
      </c>
      <c r="M151" s="604" t="e">
        <f>+M144</f>
        <v>#DIV/0!</v>
      </c>
      <c r="N151" s="605">
        <v>318948.45428466244</v>
      </c>
      <c r="O151" s="605" t="e">
        <f t="shared" si="5"/>
        <v>#DIV/0!</v>
      </c>
      <c r="P151" s="605">
        <f>+N151*'Datos Generales'!$K$13</f>
        <v>0</v>
      </c>
      <c r="Q151" s="606" t="e">
        <f t="shared" si="6"/>
        <v>#DIV/0!</v>
      </c>
      <c r="R151" s="3"/>
    </row>
    <row r="152" spans="1:18" x14ac:dyDescent="0.25">
      <c r="A152">
        <v>17</v>
      </c>
      <c r="B152" s="607" t="s">
        <v>185</v>
      </c>
      <c r="C152" s="608">
        <v>0</v>
      </c>
      <c r="D152" s="609">
        <f>33535.1517647874*(+IF('Datos Generales'!$K$15&gt;1,'Datos Generales'!$K$15,1))</f>
        <v>33535.151764787399</v>
      </c>
      <c r="E152" s="609">
        <f t="shared" si="1"/>
        <v>0</v>
      </c>
      <c r="F152" s="609">
        <f>+D152*'Datos Generales'!$K$13</f>
        <v>0</v>
      </c>
      <c r="G152" s="610">
        <f t="shared" si="2"/>
        <v>0</v>
      </c>
      <c r="H152" s="608">
        <v>0</v>
      </c>
      <c r="I152" s="609">
        <f>33535.1517647874*(+IF('Datos Generales'!$K$15&gt;1,'Datos Generales'!$K$15,1))</f>
        <v>33535.151764787399</v>
      </c>
      <c r="J152" s="609">
        <f t="shared" si="3"/>
        <v>0</v>
      </c>
      <c r="K152" s="609">
        <f>+I152*'Datos Generales'!$K$13</f>
        <v>0</v>
      </c>
      <c r="L152" s="610">
        <f t="shared" si="4"/>
        <v>0</v>
      </c>
      <c r="M152" s="608" t="e">
        <f>+M144</f>
        <v>#DIV/0!</v>
      </c>
      <c r="N152" s="609">
        <v>33535.151764787362</v>
      </c>
      <c r="O152" s="609" t="e">
        <f t="shared" si="5"/>
        <v>#DIV/0!</v>
      </c>
      <c r="P152" s="609">
        <f>+N152*'Datos Generales'!$K$13</f>
        <v>0</v>
      </c>
      <c r="Q152" s="610" t="e">
        <f t="shared" si="6"/>
        <v>#DIV/0!</v>
      </c>
      <c r="R152" s="3"/>
    </row>
    <row r="153" spans="1:18" x14ac:dyDescent="0.25">
      <c r="A153">
        <v>18</v>
      </c>
      <c r="B153" s="603" t="s">
        <v>186</v>
      </c>
      <c r="C153" s="604" t="e">
        <f>+ROUNDUP((C118/E117)/6.8,0)</f>
        <v>#DIV/0!</v>
      </c>
      <c r="D153" s="605">
        <f>10570.8630562917*(+IF('Datos Generales'!$K$15&gt;1,'Datos Generales'!$K$15,1))</f>
        <v>10570.863056291701</v>
      </c>
      <c r="E153" s="605" t="e">
        <f t="shared" si="1"/>
        <v>#DIV/0!</v>
      </c>
      <c r="F153" s="605">
        <f>+D153*'Datos Generales'!$K$13</f>
        <v>0</v>
      </c>
      <c r="G153" s="606" t="e">
        <f t="shared" si="2"/>
        <v>#DIV/0!</v>
      </c>
      <c r="H153" s="604" t="e">
        <f>+ROUNDUP((C118/E117)/(6.8+IF('C.Prestador'!F127&gt;0,10*8*'C.Prestador'!F127,0)),0)</f>
        <v>#DIV/0!</v>
      </c>
      <c r="I153" s="605">
        <f>10570.8630562917*(+IF('Datos Generales'!$K$15&gt;1,'Datos Generales'!$K$15,1))</f>
        <v>10570.863056291701</v>
      </c>
      <c r="J153" s="605" t="e">
        <f t="shared" si="3"/>
        <v>#DIV/0!</v>
      </c>
      <c r="K153" s="605">
        <f>+I153*'Datos Generales'!$K$13</f>
        <v>0</v>
      </c>
      <c r="L153" s="606" t="e">
        <f t="shared" si="4"/>
        <v>#DIV/0!</v>
      </c>
      <c r="M153" s="604">
        <v>0</v>
      </c>
      <c r="N153" s="605">
        <v>10570.86305629167</v>
      </c>
      <c r="O153" s="605">
        <f t="shared" si="5"/>
        <v>0</v>
      </c>
      <c r="P153" s="605">
        <f>+N153*'Datos Generales'!$K$13</f>
        <v>0</v>
      </c>
      <c r="Q153" s="606">
        <f t="shared" si="6"/>
        <v>0</v>
      </c>
      <c r="R153" s="3"/>
    </row>
    <row r="154" spans="1:18" x14ac:dyDescent="0.25">
      <c r="A154">
        <v>19</v>
      </c>
      <c r="B154" s="607" t="s">
        <v>320</v>
      </c>
      <c r="C154" s="608">
        <v>0</v>
      </c>
      <c r="D154" s="609">
        <f>52125.2902430934*(+IF('Datos Generales'!$K$15&gt;1,'Datos Generales'!$K$15,1))</f>
        <v>52125.290243093397</v>
      </c>
      <c r="E154" s="609">
        <f t="shared" si="1"/>
        <v>0</v>
      </c>
      <c r="F154" s="609">
        <f>+D154*'Datos Generales'!$K$13</f>
        <v>0</v>
      </c>
      <c r="G154" s="610">
        <f t="shared" si="2"/>
        <v>0</v>
      </c>
      <c r="H154" s="608" t="e">
        <f>+ROUNDUP((C118/E117)/50,0)</f>
        <v>#DIV/0!</v>
      </c>
      <c r="I154" s="609">
        <f>52125.2902430934*(+IF('Datos Generales'!$K$15&gt;1,'Datos Generales'!$K$15,1))</f>
        <v>52125.290243093397</v>
      </c>
      <c r="J154" s="609" t="e">
        <f t="shared" si="3"/>
        <v>#DIV/0!</v>
      </c>
      <c r="K154" s="609">
        <f>+I154*'Datos Generales'!$K$13</f>
        <v>0</v>
      </c>
      <c r="L154" s="610" t="e">
        <f t="shared" si="4"/>
        <v>#DIV/0!</v>
      </c>
      <c r="M154" s="608" t="e">
        <f>+ROUNDUP((C118/E117)/50,0)</f>
        <v>#DIV/0!</v>
      </c>
      <c r="N154" s="609">
        <v>52125.290243093405</v>
      </c>
      <c r="O154" s="609" t="e">
        <f t="shared" si="5"/>
        <v>#DIV/0!</v>
      </c>
      <c r="P154" s="609">
        <f>+N154*'Datos Generales'!$K$13</f>
        <v>0</v>
      </c>
      <c r="Q154" s="610" t="e">
        <f t="shared" si="6"/>
        <v>#DIV/0!</v>
      </c>
      <c r="R154" s="3"/>
    </row>
    <row r="155" spans="1:18" x14ac:dyDescent="0.25">
      <c r="A155">
        <v>20</v>
      </c>
      <c r="B155" s="603" t="s">
        <v>321</v>
      </c>
      <c r="C155" s="604">
        <v>0</v>
      </c>
      <c r="D155" s="605">
        <f>18954.6509974885*(+IF('Datos Generales'!$K$15&gt;1,'Datos Generales'!$K$15,1))</f>
        <v>18954.650997488501</v>
      </c>
      <c r="E155" s="605">
        <f t="shared" si="1"/>
        <v>0</v>
      </c>
      <c r="F155" s="605">
        <f>+D155*'Datos Generales'!$K$13</f>
        <v>0</v>
      </c>
      <c r="G155" s="606">
        <f t="shared" si="2"/>
        <v>0</v>
      </c>
      <c r="H155" s="604">
        <v>0</v>
      </c>
      <c r="I155" s="605">
        <f>18954.6509974885*(+IF('Datos Generales'!$K$15&gt;1,'Datos Generales'!$K$15,1))</f>
        <v>18954.650997488501</v>
      </c>
      <c r="J155" s="605">
        <f t="shared" si="3"/>
        <v>0</v>
      </c>
      <c r="K155" s="605">
        <f>+I155*'Datos Generales'!$K$13</f>
        <v>0</v>
      </c>
      <c r="L155" s="606">
        <f t="shared" si="4"/>
        <v>0</v>
      </c>
      <c r="M155" s="604" t="e">
        <f>+M144</f>
        <v>#DIV/0!</v>
      </c>
      <c r="N155" s="605">
        <v>18954.650997488508</v>
      </c>
      <c r="O155" s="605" t="e">
        <f t="shared" si="5"/>
        <v>#DIV/0!</v>
      </c>
      <c r="P155" s="605">
        <f>+N155*'Datos Generales'!$K$13</f>
        <v>0</v>
      </c>
      <c r="Q155" s="606" t="e">
        <f t="shared" si="6"/>
        <v>#DIV/0!</v>
      </c>
      <c r="R155" s="3"/>
    </row>
    <row r="156" spans="1:18" x14ac:dyDescent="0.25">
      <c r="A156">
        <v>21</v>
      </c>
      <c r="B156" s="607" t="s">
        <v>189</v>
      </c>
      <c r="C156" s="608" t="e">
        <f>C118/(E117*0.2)</f>
        <v>#DIV/0!</v>
      </c>
      <c r="D156" s="609">
        <f>127.579381713865*(+IF('Datos Generales'!$K$15&gt;1,'Datos Generales'!$K$15,1))</f>
        <v>127.579381713865</v>
      </c>
      <c r="E156" s="609" t="e">
        <f t="shared" si="1"/>
        <v>#DIV/0!</v>
      </c>
      <c r="F156" s="609">
        <f>+D156*'Datos Generales'!$K$13</f>
        <v>0</v>
      </c>
      <c r="G156" s="610" t="e">
        <f t="shared" si="2"/>
        <v>#DIV/0!</v>
      </c>
      <c r="H156" s="608" t="e">
        <f>C118/(E117*0.8)</f>
        <v>#DIV/0!</v>
      </c>
      <c r="I156" s="609">
        <f>127.579381713865*(+IF('Datos Generales'!$K$15&gt;1,'Datos Generales'!$K$15,1))</f>
        <v>127.579381713865</v>
      </c>
      <c r="J156" s="609" t="e">
        <f t="shared" si="3"/>
        <v>#DIV/0!</v>
      </c>
      <c r="K156" s="609">
        <f>+I156*'Datos Generales'!$K$13</f>
        <v>0</v>
      </c>
      <c r="L156" s="610" t="e">
        <f t="shared" si="4"/>
        <v>#DIV/0!</v>
      </c>
      <c r="M156" s="608">
        <v>0</v>
      </c>
      <c r="N156" s="609">
        <v>127.57938171386496</v>
      </c>
      <c r="O156" s="609">
        <f t="shared" si="5"/>
        <v>0</v>
      </c>
      <c r="P156" s="609">
        <f>+N156*'Datos Generales'!$K$13</f>
        <v>0</v>
      </c>
      <c r="Q156" s="610">
        <f t="shared" si="6"/>
        <v>0</v>
      </c>
      <c r="R156" s="3"/>
    </row>
    <row r="157" spans="1:18" x14ac:dyDescent="0.25">
      <c r="A157">
        <v>22</v>
      </c>
      <c r="B157" s="603" t="s">
        <v>190</v>
      </c>
      <c r="C157" s="604" t="e">
        <f>C140/100</f>
        <v>#DIV/0!</v>
      </c>
      <c r="D157" s="605">
        <f>61.9671282610201*(+IF('Datos Generales'!$K$15&gt;1,'Datos Generales'!$K$15,1))</f>
        <v>61.9671282610201</v>
      </c>
      <c r="E157" s="605" t="e">
        <f t="shared" si="1"/>
        <v>#DIV/0!</v>
      </c>
      <c r="F157" s="605">
        <f>+D157*'Datos Generales'!$K$13</f>
        <v>0</v>
      </c>
      <c r="G157" s="606" t="e">
        <f t="shared" si="2"/>
        <v>#DIV/0!</v>
      </c>
      <c r="H157" s="604" t="e">
        <f>H140/100</f>
        <v>#DIV/0!</v>
      </c>
      <c r="I157" s="605">
        <f>309.835641305101*(+IF('Datos Generales'!$K$15&gt;1,'Datos Generales'!$K$15,1))</f>
        <v>309.83564130510098</v>
      </c>
      <c r="J157" s="605" t="e">
        <f t="shared" si="3"/>
        <v>#DIV/0!</v>
      </c>
      <c r="K157" s="605">
        <f>+I157*'Datos Generales'!$K$13</f>
        <v>0</v>
      </c>
      <c r="L157" s="606" t="e">
        <f t="shared" si="4"/>
        <v>#DIV/0!</v>
      </c>
      <c r="M157" s="604" t="e">
        <f>M140/100</f>
        <v>#DIV/0!</v>
      </c>
      <c r="N157" s="605">
        <v>309.83564130510064</v>
      </c>
      <c r="O157" s="605" t="e">
        <f t="shared" si="5"/>
        <v>#DIV/0!</v>
      </c>
      <c r="P157" s="605">
        <f>+N157*'Datos Generales'!$K$13</f>
        <v>0</v>
      </c>
      <c r="Q157" s="606" t="e">
        <f t="shared" si="6"/>
        <v>#DIV/0!</v>
      </c>
      <c r="R157" s="3"/>
    </row>
    <row r="158" spans="1:18" x14ac:dyDescent="0.25">
      <c r="A158">
        <v>23</v>
      </c>
      <c r="B158" s="607" t="s">
        <v>192</v>
      </c>
      <c r="C158" s="608">
        <v>1</v>
      </c>
      <c r="D158" s="609">
        <f>364.512519182471*(+IF('Datos Generales'!$K$15&gt;1,'Datos Generales'!$K$15,1))</f>
        <v>364.51251918247101</v>
      </c>
      <c r="E158" s="609">
        <f t="shared" si="1"/>
        <v>364.51251918247101</v>
      </c>
      <c r="F158" s="609">
        <f>+D158*'Datos Generales'!$K$13</f>
        <v>0</v>
      </c>
      <c r="G158" s="610">
        <f t="shared" si="2"/>
        <v>0</v>
      </c>
      <c r="H158" s="608">
        <v>1</v>
      </c>
      <c r="I158" s="609">
        <f>5467.68778773707*(+IF('Datos Generales'!$K$15&gt;1,'Datos Generales'!$K$15,1))</f>
        <v>5467.6877877370698</v>
      </c>
      <c r="J158" s="609">
        <f t="shared" si="3"/>
        <v>5467.6877877370698</v>
      </c>
      <c r="K158" s="609">
        <f>+I158*'Datos Generales'!$K$13</f>
        <v>0</v>
      </c>
      <c r="L158" s="610">
        <f t="shared" si="4"/>
        <v>0</v>
      </c>
      <c r="M158" s="608">
        <v>1</v>
      </c>
      <c r="N158" s="609">
        <v>5467.6877877370698</v>
      </c>
      <c r="O158" s="609">
        <f t="shared" si="5"/>
        <v>5467.6877877370698</v>
      </c>
      <c r="P158" s="609">
        <f>+N158*'Datos Generales'!$K$13</f>
        <v>0</v>
      </c>
      <c r="Q158" s="610">
        <f t="shared" si="6"/>
        <v>0</v>
      </c>
      <c r="R158" s="3"/>
    </row>
    <row r="159" spans="1:18" x14ac:dyDescent="0.25">
      <c r="A159">
        <v>24</v>
      </c>
      <c r="B159" s="603" t="s">
        <v>193</v>
      </c>
      <c r="C159" s="604" t="e">
        <f>+ROUNDUP(0.02*C140,0)</f>
        <v>#DIV/0!</v>
      </c>
      <c r="D159" s="605">
        <f>91.1281297956178*(+IF('Datos Generales'!$K$15&gt;1,'Datos Generales'!$K$15,1))</f>
        <v>91.128129795617795</v>
      </c>
      <c r="E159" s="605" t="e">
        <f t="shared" si="1"/>
        <v>#DIV/0!</v>
      </c>
      <c r="F159" s="605">
        <f>+D159*'Datos Generales'!$K$13</f>
        <v>0</v>
      </c>
      <c r="G159" s="606" t="e">
        <f t="shared" si="2"/>
        <v>#DIV/0!</v>
      </c>
      <c r="H159" s="604" t="e">
        <f>+ROUNDUP(0.02*H140,0)</f>
        <v>#DIV/0!</v>
      </c>
      <c r="I159" s="605">
        <f>91.1281297956178*(+IF('Datos Generales'!$K$15&gt;1,'Datos Generales'!$K$15,1))</f>
        <v>91.128129795617795</v>
      </c>
      <c r="J159" s="605" t="e">
        <f t="shared" si="3"/>
        <v>#DIV/0!</v>
      </c>
      <c r="K159" s="605">
        <f>+I159*'Datos Generales'!$K$13</f>
        <v>0</v>
      </c>
      <c r="L159" s="606" t="e">
        <f t="shared" si="4"/>
        <v>#DIV/0!</v>
      </c>
      <c r="M159" s="604" t="e">
        <f>+ROUNDUP(0.02*M140,0)</f>
        <v>#DIV/0!</v>
      </c>
      <c r="N159" s="605">
        <v>91.128129795617838</v>
      </c>
      <c r="O159" s="605" t="e">
        <f t="shared" si="5"/>
        <v>#DIV/0!</v>
      </c>
      <c r="P159" s="605">
        <f>+N159*'Datos Generales'!$K$13</f>
        <v>0</v>
      </c>
      <c r="Q159" s="606" t="e">
        <f t="shared" si="6"/>
        <v>#DIV/0!</v>
      </c>
      <c r="R159" s="3"/>
    </row>
    <row r="160" spans="1:18" x14ac:dyDescent="0.25">
      <c r="A160">
        <v>25</v>
      </c>
      <c r="B160" s="607" t="s">
        <v>322</v>
      </c>
      <c r="C160" s="608" t="e">
        <f>C140/100</f>
        <v>#DIV/0!</v>
      </c>
      <c r="D160" s="609">
        <f>426.479647443491*(+IF('Datos Generales'!$K$15&gt;1,'Datos Generales'!$K$15,1))</f>
        <v>426.47964744349099</v>
      </c>
      <c r="E160" s="609" t="e">
        <f t="shared" si="1"/>
        <v>#DIV/0!</v>
      </c>
      <c r="F160" s="609">
        <f>+D160*'Datos Generales'!$K$13</f>
        <v>0</v>
      </c>
      <c r="G160" s="610" t="e">
        <f t="shared" si="2"/>
        <v>#DIV/0!</v>
      </c>
      <c r="H160" s="608" t="e">
        <f>H140/100</f>
        <v>#DIV/0!</v>
      </c>
      <c r="I160" s="609">
        <f>426.479647443491*(+IF('Datos Generales'!$K$15&gt;1,'Datos Generales'!$K$15,1))</f>
        <v>426.47964744349099</v>
      </c>
      <c r="J160" s="609" t="e">
        <f t="shared" si="3"/>
        <v>#DIV/0!</v>
      </c>
      <c r="K160" s="609">
        <f>+I160*'Datos Generales'!$K$13</f>
        <v>0</v>
      </c>
      <c r="L160" s="610" t="e">
        <f t="shared" si="4"/>
        <v>#DIV/0!</v>
      </c>
      <c r="M160" s="608" t="e">
        <f>M140/100</f>
        <v>#DIV/0!</v>
      </c>
      <c r="N160" s="609">
        <v>426.47964744349144</v>
      </c>
      <c r="O160" s="609" t="e">
        <f t="shared" si="5"/>
        <v>#DIV/0!</v>
      </c>
      <c r="P160" s="609">
        <f>+N160*'Datos Generales'!$K$13</f>
        <v>0</v>
      </c>
      <c r="Q160" s="610" t="e">
        <f t="shared" si="6"/>
        <v>#DIV/0!</v>
      </c>
      <c r="R160" s="3"/>
    </row>
    <row r="161" spans="1:19" x14ac:dyDescent="0.25">
      <c r="A161">
        <v>26</v>
      </c>
      <c r="B161" s="603" t="s">
        <v>195</v>
      </c>
      <c r="C161" s="604">
        <v>0</v>
      </c>
      <c r="D161" s="605">
        <f>0*(+IF('Datos Generales'!$K$15&gt;1,'Datos Generales'!$K$15,1))</f>
        <v>0</v>
      </c>
      <c r="E161" s="605">
        <f t="shared" si="1"/>
        <v>0</v>
      </c>
      <c r="F161" s="605">
        <f>+D161*'Datos Generales'!$K$13</f>
        <v>0</v>
      </c>
      <c r="G161" s="606">
        <f t="shared" si="2"/>
        <v>0</v>
      </c>
      <c r="H161" s="604" t="e">
        <f>+ROUNDUP(H144*H147/30,0)</f>
        <v>#DIV/0!</v>
      </c>
      <c r="I161" s="605">
        <f>838.378794119684*(+IF('Datos Generales'!$K$15&gt;1,'Datos Generales'!$K$15,1))</f>
        <v>838.37879411968402</v>
      </c>
      <c r="J161" s="605" t="e">
        <f t="shared" si="3"/>
        <v>#DIV/0!</v>
      </c>
      <c r="K161" s="605">
        <f>+I161*'Datos Generales'!$K$13</f>
        <v>0</v>
      </c>
      <c r="L161" s="606" t="e">
        <f t="shared" si="4"/>
        <v>#DIV/0!</v>
      </c>
      <c r="M161" s="604" t="e">
        <f>+ROUNDUP(M144*M147/30,0)</f>
        <v>#DIV/0!</v>
      </c>
      <c r="N161" s="605">
        <v>838.37879411968413</v>
      </c>
      <c r="O161" s="605" t="e">
        <f t="shared" si="5"/>
        <v>#DIV/0!</v>
      </c>
      <c r="P161" s="605">
        <f>+N161*'Datos Generales'!$K$13</f>
        <v>0</v>
      </c>
      <c r="Q161" s="606" t="e">
        <f t="shared" si="6"/>
        <v>#DIV/0!</v>
      </c>
      <c r="R161" s="3"/>
    </row>
    <row r="162" spans="1:19" x14ac:dyDescent="0.25">
      <c r="A162">
        <v>27</v>
      </c>
      <c r="B162" s="607" t="s">
        <v>196</v>
      </c>
      <c r="C162" s="608" t="e">
        <f>2*C153</f>
        <v>#DIV/0!</v>
      </c>
      <c r="D162" s="609">
        <f>72.9025038364943*(+IF('Datos Generales'!$K$15&gt;1,'Datos Generales'!$K$15,1))</f>
        <v>72.902503836494304</v>
      </c>
      <c r="E162" s="609" t="e">
        <f t="shared" si="1"/>
        <v>#DIV/0!</v>
      </c>
      <c r="F162" s="609">
        <f>+D162*'Datos Generales'!$K$13</f>
        <v>0</v>
      </c>
      <c r="G162" s="610" t="e">
        <f t="shared" si="2"/>
        <v>#DIV/0!</v>
      </c>
      <c r="H162" s="608" t="e">
        <f>2*H153</f>
        <v>#DIV/0!</v>
      </c>
      <c r="I162" s="609">
        <f>72.9025038364943*(+IF('Datos Generales'!$K$15&gt;1,'Datos Generales'!$K$15,1))</f>
        <v>72.902503836494304</v>
      </c>
      <c r="J162" s="609" t="e">
        <f t="shared" si="3"/>
        <v>#DIV/0!</v>
      </c>
      <c r="K162" s="609">
        <f>+I162*'Datos Generales'!$K$13</f>
        <v>0</v>
      </c>
      <c r="L162" s="610" t="e">
        <f t="shared" si="4"/>
        <v>#DIV/0!</v>
      </c>
      <c r="M162" s="608">
        <v>0</v>
      </c>
      <c r="N162" s="609">
        <v>72.902503836494262</v>
      </c>
      <c r="O162" s="609">
        <f t="shared" si="5"/>
        <v>0</v>
      </c>
      <c r="P162" s="609">
        <f>+N162*'Datos Generales'!$K$13</f>
        <v>0</v>
      </c>
      <c r="Q162" s="610">
        <f t="shared" si="6"/>
        <v>0</v>
      </c>
      <c r="R162" s="3"/>
    </row>
    <row r="163" spans="1:19" x14ac:dyDescent="0.25">
      <c r="A163">
        <v>28</v>
      </c>
      <c r="B163" s="603" t="s">
        <v>197</v>
      </c>
      <c r="C163" s="613">
        <v>0</v>
      </c>
      <c r="D163" s="614">
        <f>0*(+IF('Datos Generales'!$K$15&gt;1,'Datos Generales'!$K$15,1))</f>
        <v>0</v>
      </c>
      <c r="E163" s="614">
        <f t="shared" si="1"/>
        <v>0</v>
      </c>
      <c r="F163" s="614">
        <f>+D163*'Datos Generales'!$K$13</f>
        <v>0</v>
      </c>
      <c r="G163" s="615">
        <f t="shared" si="2"/>
        <v>0</v>
      </c>
      <c r="H163" s="613">
        <v>0</v>
      </c>
      <c r="I163" s="614">
        <f>0*(+IF('Datos Generales'!$K$15&gt;1,'Datos Generales'!$K$15,1))</f>
        <v>0</v>
      </c>
      <c r="J163" s="614">
        <f t="shared" si="3"/>
        <v>0</v>
      </c>
      <c r="K163" s="614">
        <f>+I163*'Datos Generales'!$K$13</f>
        <v>0</v>
      </c>
      <c r="L163" s="615">
        <f t="shared" si="4"/>
        <v>0</v>
      </c>
      <c r="M163" s="613">
        <v>0</v>
      </c>
      <c r="N163" s="614">
        <v>0</v>
      </c>
      <c r="O163" s="614">
        <f t="shared" si="5"/>
        <v>0</v>
      </c>
      <c r="P163" s="614">
        <f>+N163*'Datos Generales'!$K$13</f>
        <v>0</v>
      </c>
      <c r="Q163" s="615">
        <f t="shared" si="6"/>
        <v>0</v>
      </c>
      <c r="R163" s="3"/>
    </row>
    <row r="164" spans="1:19" x14ac:dyDescent="0.25">
      <c r="A164">
        <v>29</v>
      </c>
      <c r="B164" s="607" t="s">
        <v>684</v>
      </c>
      <c r="C164" s="608">
        <v>0</v>
      </c>
      <c r="D164" s="609"/>
      <c r="E164" s="609">
        <f>+D164*C164</f>
        <v>0</v>
      </c>
      <c r="F164" s="609">
        <f>+D164*'Datos Generales'!$K$13</f>
        <v>0</v>
      </c>
      <c r="G164" s="610">
        <f>+F164*C164</f>
        <v>0</v>
      </c>
      <c r="H164" s="608" t="e">
        <f>+IF(C117*12&gt;40000,1,0)</f>
        <v>#DIV/0!</v>
      </c>
      <c r="I164" s="609"/>
      <c r="J164" s="609" t="e">
        <f>+I164*H164</f>
        <v>#DIV/0!</v>
      </c>
      <c r="K164" s="609">
        <f>+I164*'Datos Generales'!$K$13</f>
        <v>0</v>
      </c>
      <c r="L164" s="610" t="e">
        <f>+K164*H164</f>
        <v>#DIV/0!</v>
      </c>
      <c r="M164" s="616" t="e">
        <f>+M144</f>
        <v>#DIV/0!</v>
      </c>
      <c r="N164" s="609">
        <v>39000</v>
      </c>
      <c r="O164" s="609" t="e">
        <f>+N164*M164</f>
        <v>#DIV/0!</v>
      </c>
      <c r="P164" s="609">
        <f>+N164*'Datos Generales'!$K$13</f>
        <v>0</v>
      </c>
      <c r="Q164" s="610" t="e">
        <f>+P164*M164</f>
        <v>#DIV/0!</v>
      </c>
    </row>
    <row r="166" spans="1:19" x14ac:dyDescent="0.25">
      <c r="A166" s="3"/>
      <c r="B166" s="10" t="s">
        <v>236</v>
      </c>
      <c r="C166" s="9" t="s">
        <v>329</v>
      </c>
      <c r="D166" s="9" t="s">
        <v>331</v>
      </c>
      <c r="E166" s="9" t="s">
        <v>336</v>
      </c>
      <c r="G166" s="10" t="s">
        <v>236</v>
      </c>
      <c r="H166" s="9" t="s">
        <v>329</v>
      </c>
      <c r="I166" s="9" t="s">
        <v>331</v>
      </c>
      <c r="J166" s="9" t="s">
        <v>336</v>
      </c>
    </row>
    <row r="167" spans="1:19" x14ac:dyDescent="0.25">
      <c r="A167" s="3"/>
      <c r="B167" s="60" t="s">
        <v>343</v>
      </c>
      <c r="C167" s="60" t="e">
        <f>+C153*2*IF('Datos Prestador'!O158="",'Datos Prestador'!P158,'Datos Prestador'!O158)+ROUNDUP(('C.Prestador'!C118*(IF('Datos Prestador'!O159="",'Datos Prestador'!P159,'Datos Prestador'!O159)))/C124,0)</f>
        <v>#DIV/0!</v>
      </c>
      <c r="D167" s="60" t="e">
        <f>+H153*2*IF('Datos Prestador'!O158="",'Datos Prestador'!P158,'Datos Prestador'!O158)+ROUNDUP(('C.Prestador'!C118*'Datos Prestador'!P159)/D124,0)</f>
        <v>#DIV/0!</v>
      </c>
      <c r="E167" s="60" t="e">
        <f>+M153*2*IF('Datos Prestador'!O158="",'Datos Prestador'!P158,'Datos Prestador'!O158)+ROUNDUP(('C.Prestador'!C118*'Datos Prestador'!P159)/E124,0)</f>
        <v>#DIV/0!</v>
      </c>
      <c r="G167" s="60" t="s">
        <v>343</v>
      </c>
      <c r="H167" s="60" t="e">
        <f>+C153*2*IF('Datos Prestador'!O158="",'Datos Prestador'!P158,'Datos Prestador'!O158)+ROUNDUP(('C.Prestador'!C118*'Datos Prestador'!P159)/0.22,0)</f>
        <v>#DIV/0!</v>
      </c>
      <c r="I167" s="60" t="e">
        <f>+H153*2*IF('Datos Prestador'!O158="",'Datos Prestador'!P158,'Datos Prestador'!O158)+ROUNDUP(('C.Prestador'!C118*'Datos Prestador'!P159)/2.43,0)</f>
        <v>#DIV/0!</v>
      </c>
      <c r="J167" s="60" t="e">
        <f>+M153*2*IF('Datos Prestador'!O158="",'Datos Prestador'!P158,'Datos Prestador'!O158)+ROUNDUP(('C.Prestador'!C118*'Datos Prestador'!P159)/(2.43+SUM(M149:M152)),0)</f>
        <v>#DIV/0!</v>
      </c>
    </row>
    <row r="168" spans="1:19" x14ac:dyDescent="0.25">
      <c r="A168" s="3"/>
      <c r="B168" s="61" t="s">
        <v>344</v>
      </c>
      <c r="C168" s="61">
        <f>+(C142+C154)*IF('Datos Prestador'!O158="",'Datos Prestador'!P158,'Datos Prestador'!O158)</f>
        <v>0</v>
      </c>
      <c r="D168" s="61" t="e">
        <f>+(H142+H154)*IF('Datos Prestador'!O158="",'Datos Prestador'!P158,'Datos Prestador'!O158)</f>
        <v>#DIV/0!</v>
      </c>
      <c r="E168" s="61" t="e">
        <f>+(M142+M154)*IF('Datos Prestador'!O158="",'Datos Prestador'!P158,'Datos Prestador'!O158)</f>
        <v>#DIV/0!</v>
      </c>
      <c r="G168" s="61" t="s">
        <v>344</v>
      </c>
      <c r="H168" s="61">
        <f>+(C142+C154)*IF('Datos Prestador'!O158="",'Datos Prestador'!P158,'Datos Prestador'!O158)</f>
        <v>0</v>
      </c>
      <c r="I168" s="61" t="e">
        <f>+(H142+H154)*IF('Datos Prestador'!O158="",'Datos Prestador'!P158,'Datos Prestador'!O158)</f>
        <v>#DIV/0!</v>
      </c>
      <c r="J168" s="61" t="e">
        <f>+(M142+M154)*IF('Datos Prestador'!O158="",'Datos Prestador'!P158,'Datos Prestador'!O158)</f>
        <v>#DIV/0!</v>
      </c>
    </row>
    <row r="169" spans="1:19" x14ac:dyDescent="0.25">
      <c r="A169" s="3"/>
      <c r="B169" s="60" t="s">
        <v>159</v>
      </c>
      <c r="C169" s="60" t="e">
        <f>+ROUNDUP(1*(C167+C168)/20,0)</f>
        <v>#DIV/0!</v>
      </c>
      <c r="D169" s="60" t="e">
        <f>+ROUNDUP(1*(D167+D168)/20,0)</f>
        <v>#DIV/0!</v>
      </c>
      <c r="E169" s="60" t="e">
        <f>+ROUNDUP(1*(E167+E168)/20,0)</f>
        <v>#DIV/0!</v>
      </c>
      <c r="G169" s="60" t="s">
        <v>159</v>
      </c>
      <c r="H169" s="60" t="e">
        <f>+ROUNDUP(1*(H167+H168)/20,0)</f>
        <v>#DIV/0!</v>
      </c>
      <c r="I169" s="60" t="e">
        <f>+ROUNDUP(1*(I167+I168)/20,0)</f>
        <v>#DIV/0!</v>
      </c>
      <c r="J169" s="60" t="e">
        <f>+ROUNDUP(1*(J167+J168)/20,0)</f>
        <v>#DIV/0!</v>
      </c>
    </row>
    <row r="170" spans="1:19" x14ac:dyDescent="0.25">
      <c r="A170" s="3"/>
      <c r="B170" s="61" t="s">
        <v>345</v>
      </c>
      <c r="C170" s="61">
        <v>1</v>
      </c>
      <c r="D170" s="61">
        <v>1</v>
      </c>
      <c r="E170" s="61">
        <v>1</v>
      </c>
      <c r="G170" s="61" t="s">
        <v>345</v>
      </c>
      <c r="H170" s="61">
        <v>1</v>
      </c>
      <c r="I170" s="61">
        <v>1</v>
      </c>
      <c r="J170" s="61">
        <v>1</v>
      </c>
    </row>
    <row r="171" spans="1:19" x14ac:dyDescent="0.25">
      <c r="B171" s="64" t="s">
        <v>346</v>
      </c>
      <c r="C171" s="64" t="e">
        <f>+SUM(C167:C170)</f>
        <v>#DIV/0!</v>
      </c>
      <c r="D171" s="64" t="e">
        <f>+SUM(D167:D170)</f>
        <v>#DIV/0!</v>
      </c>
      <c r="E171" s="64" t="e">
        <f>+SUM(E167:E170)</f>
        <v>#DIV/0!</v>
      </c>
      <c r="G171" s="64" t="s">
        <v>346</v>
      </c>
      <c r="H171" s="64" t="e">
        <f>+SUM(H167:H170)</f>
        <v>#DIV/0!</v>
      </c>
      <c r="I171" s="64" t="e">
        <f>+SUM(I167:I170)</f>
        <v>#DIV/0!</v>
      </c>
      <c r="J171" s="64" t="e">
        <f>+SUM(J167:J170)</f>
        <v>#DIV/0!</v>
      </c>
    </row>
    <row r="172" spans="1:19" x14ac:dyDescent="0.25">
      <c r="D172" s="29"/>
    </row>
    <row r="173" spans="1:19" x14ac:dyDescent="0.25">
      <c r="D173" s="29" t="e">
        <f>+H153*2*IF('Datos Prestador'!O158="",'Datos Prestador'!P158,'Datos Prestador'!O158)</f>
        <v>#DIV/0!</v>
      </c>
    </row>
    <row r="174" spans="1:19" x14ac:dyDescent="0.25">
      <c r="D174" s="29"/>
    </row>
    <row r="175" spans="1:19" s="54" customFormat="1" ht="23.25" x14ac:dyDescent="0.35">
      <c r="B175" s="55" t="s">
        <v>369</v>
      </c>
      <c r="C175" s="55"/>
      <c r="D175" s="55"/>
      <c r="E175" s="55"/>
      <c r="F175" s="55"/>
      <c r="G175" s="55"/>
      <c r="H175" s="55"/>
      <c r="I175" s="55"/>
      <c r="J175" s="55"/>
      <c r="K175" s="55"/>
      <c r="L175" s="55"/>
      <c r="M175" s="55"/>
      <c r="N175" s="55"/>
      <c r="O175" s="55"/>
      <c r="P175" s="55"/>
      <c r="Q175" s="55"/>
      <c r="R175" s="55"/>
      <c r="S175" s="55"/>
    </row>
    <row r="176" spans="1:19" x14ac:dyDescent="0.25">
      <c r="D176" s="29"/>
    </row>
    <row r="177" spans="2:5" x14ac:dyDescent="0.25">
      <c r="D177" s="29"/>
    </row>
    <row r="178" spans="2:5" x14ac:dyDescent="0.25">
      <c r="D178" s="29"/>
    </row>
    <row r="179" spans="2:5" x14ac:dyDescent="0.25">
      <c r="B179" s="902" t="s">
        <v>368</v>
      </c>
      <c r="C179" s="902"/>
      <c r="D179" s="902"/>
      <c r="E179" s="902"/>
    </row>
    <row r="180" spans="2:5" x14ac:dyDescent="0.25">
      <c r="B180" s="5" t="s">
        <v>73</v>
      </c>
      <c r="C180" t="s">
        <v>234</v>
      </c>
      <c r="E180" t="s">
        <v>370</v>
      </c>
    </row>
    <row r="181" spans="2:5" x14ac:dyDescent="0.25">
      <c r="B181" s="71" t="s">
        <v>3</v>
      </c>
      <c r="C181">
        <v>72.902503836494262</v>
      </c>
      <c r="E181" s="2">
        <f>+C181*'Datos Generales'!$K$13*IF('Datos Generales'!$K$15&gt;1,'Datos Generales'!$K$15,1)</f>
        <v>0</v>
      </c>
    </row>
    <row r="182" spans="2:5" x14ac:dyDescent="0.25">
      <c r="B182" s="71" t="s">
        <v>4</v>
      </c>
      <c r="C182">
        <v>25.515876342772994</v>
      </c>
      <c r="E182" s="2">
        <f>+C182*'Datos Generales'!$K$13*IF('Datos Generales'!$K$15&gt;1,'Datos Generales'!$K$15,1)</f>
        <v>0</v>
      </c>
    </row>
    <row r="183" spans="2:5" x14ac:dyDescent="0.25">
      <c r="B183" s="71" t="s">
        <v>6</v>
      </c>
      <c r="C183">
        <v>29.161001534597705</v>
      </c>
      <c r="E183" s="2">
        <f>+C183*'Datos Generales'!$K$13*IF('Datos Generales'!$K$15&gt;1,'Datos Generales'!$K$15,1)</f>
        <v>0</v>
      </c>
    </row>
    <row r="184" spans="2:5" x14ac:dyDescent="0.25">
      <c r="B184" s="71" t="s">
        <v>5</v>
      </c>
      <c r="C184">
        <v>45.564064897808919</v>
      </c>
      <c r="E184" s="2">
        <f>+C184*'Datos Generales'!$K$13*IF('Datos Generales'!$K$15&gt;1,'Datos Generales'!$K$15,1)</f>
        <v>0</v>
      </c>
    </row>
    <row r="185" spans="2:5" x14ac:dyDescent="0.25">
      <c r="B185" s="71" t="s">
        <v>7</v>
      </c>
      <c r="C185">
        <v>61.967128261020129</v>
      </c>
      <c r="E185" s="2">
        <f>+C185*'Datos Generales'!$K$13*IF('Datos Generales'!$K$15&gt;1,'Datos Generales'!$K$15,1)</f>
        <v>0</v>
      </c>
    </row>
    <row r="186" spans="2:5" x14ac:dyDescent="0.25">
      <c r="B186" s="71" t="s">
        <v>72</v>
      </c>
      <c r="C186">
        <v>12.757938171386497</v>
      </c>
      <c r="E186" s="2">
        <f>+C186*'Datos Generales'!$K$13*IF('Datos Generales'!$K$15&gt;1,'Datos Generales'!$K$15,1)</f>
        <v>0</v>
      </c>
    </row>
    <row r="187" spans="2:5" x14ac:dyDescent="0.25">
      <c r="B187" s="71" t="s">
        <v>9</v>
      </c>
    </row>
    <row r="189" spans="2:5" x14ac:dyDescent="0.25">
      <c r="B189" s="902" t="s">
        <v>368</v>
      </c>
      <c r="C189" s="902"/>
      <c r="D189" s="902"/>
      <c r="E189" s="902"/>
    </row>
    <row r="190" spans="2:5" x14ac:dyDescent="0.25">
      <c r="B190" s="5" t="s">
        <v>73</v>
      </c>
      <c r="C190" t="s">
        <v>234</v>
      </c>
      <c r="E190" t="s">
        <v>370</v>
      </c>
    </row>
    <row r="191" spans="2:5" x14ac:dyDescent="0.25">
      <c r="B191" s="71" t="s">
        <v>3</v>
      </c>
      <c r="C191">
        <v>36.451251918247131</v>
      </c>
      <c r="E191" s="2">
        <f>+C191*'Datos Generales'!$K$13*IF('Datos Generales'!$K$15&gt;1,'Datos Generales'!$K$15,1)</f>
        <v>0</v>
      </c>
    </row>
    <row r="192" spans="2:5" x14ac:dyDescent="0.25">
      <c r="B192" s="71" t="s">
        <v>4</v>
      </c>
      <c r="C192">
        <v>18.225625959123565</v>
      </c>
      <c r="E192" s="2">
        <f>+C192*'Datos Generales'!$K$13*IF('Datos Generales'!$K$15&gt;1,'Datos Generales'!$K$15,1)</f>
        <v>0</v>
      </c>
    </row>
    <row r="193" spans="2:5" x14ac:dyDescent="0.25">
      <c r="B193" s="71" t="s">
        <v>6</v>
      </c>
      <c r="C193">
        <v>18.225625959123565</v>
      </c>
      <c r="E193" s="2">
        <f>+C193*'Datos Generales'!$K$13*IF('Datos Generales'!$K$15&gt;1,'Datos Generales'!$K$15,1)</f>
        <v>0</v>
      </c>
    </row>
    <row r="194" spans="2:5" x14ac:dyDescent="0.25">
      <c r="B194" s="71" t="s">
        <v>5</v>
      </c>
      <c r="C194">
        <v>36.451251918247131</v>
      </c>
      <c r="E194" s="2">
        <f>+C194*'Datos Generales'!$K$13*IF('Datos Generales'!$K$15&gt;1,'Datos Generales'!$K$15,1)</f>
        <v>0</v>
      </c>
    </row>
    <row r="195" spans="2:5" x14ac:dyDescent="0.25">
      <c r="B195" s="71" t="s">
        <v>7</v>
      </c>
      <c r="C195">
        <v>54.6768778773707</v>
      </c>
      <c r="E195" s="2">
        <f>+C195*'Datos Generales'!$K$13*IF('Datos Generales'!$K$15&gt;1,'Datos Generales'!$K$15,1)</f>
        <v>0</v>
      </c>
    </row>
    <row r="196" spans="2:5" x14ac:dyDescent="0.25">
      <c r="B196" s="71" t="s">
        <v>72</v>
      </c>
      <c r="C196">
        <v>9.1128129795617827</v>
      </c>
      <c r="E196" s="2">
        <f>+C196*'Datos Generales'!$K$13*IF('Datos Generales'!$K$15&gt;1,'Datos Generales'!$K$15,1)</f>
        <v>0</v>
      </c>
    </row>
    <row r="197" spans="2:5" x14ac:dyDescent="0.25">
      <c r="D197" s="29"/>
    </row>
    <row r="198" spans="2:5" x14ac:dyDescent="0.25">
      <c r="D198" s="29"/>
    </row>
    <row r="199" spans="2:5" x14ac:dyDescent="0.25">
      <c r="D199" s="29"/>
    </row>
    <row r="200" spans="2:5" x14ac:dyDescent="0.25">
      <c r="D200" s="29"/>
    </row>
    <row r="201" spans="2:5" x14ac:dyDescent="0.25">
      <c r="D201" s="29"/>
    </row>
    <row r="202" spans="2:5" x14ac:dyDescent="0.25">
      <c r="D202" s="29"/>
    </row>
    <row r="203" spans="2:5" x14ac:dyDescent="0.25">
      <c r="D203" s="29"/>
    </row>
    <row r="204" spans="2:5" x14ac:dyDescent="0.25">
      <c r="D204" s="29"/>
    </row>
    <row r="205" spans="2:5" x14ac:dyDescent="0.25">
      <c r="D205" s="29"/>
    </row>
    <row r="206" spans="2:5" x14ac:dyDescent="0.25">
      <c r="D206" s="29"/>
    </row>
    <row r="207" spans="2:5" x14ac:dyDescent="0.25">
      <c r="D207" s="29"/>
    </row>
    <row r="208" spans="2:5" x14ac:dyDescent="0.25">
      <c r="D208" s="29"/>
    </row>
    <row r="209" spans="4:4" x14ac:dyDescent="0.25">
      <c r="D209" s="29"/>
    </row>
    <row r="210" spans="4:4" x14ac:dyDescent="0.25">
      <c r="D210" s="29"/>
    </row>
    <row r="211" spans="4:4" x14ac:dyDescent="0.25">
      <c r="D211" s="29"/>
    </row>
    <row r="212" spans="4:4" x14ac:dyDescent="0.25">
      <c r="D212" s="29"/>
    </row>
    <row r="213" spans="4:4" x14ac:dyDescent="0.25">
      <c r="D213" s="29"/>
    </row>
    <row r="214" spans="4:4" x14ac:dyDescent="0.25">
      <c r="D214" s="29"/>
    </row>
    <row r="215" spans="4:4" x14ac:dyDescent="0.25">
      <c r="D215" s="29"/>
    </row>
    <row r="216" spans="4:4" x14ac:dyDescent="0.25">
      <c r="D216" s="29"/>
    </row>
    <row r="217" spans="4:4" x14ac:dyDescent="0.25">
      <c r="D217" s="29"/>
    </row>
    <row r="218" spans="4:4" x14ac:dyDescent="0.25">
      <c r="D218" s="29"/>
    </row>
    <row r="219" spans="4:4" x14ac:dyDescent="0.25">
      <c r="D219" s="29"/>
    </row>
    <row r="220" spans="4:4" x14ac:dyDescent="0.25">
      <c r="D220" s="29"/>
    </row>
    <row r="221" spans="4:4" x14ac:dyDescent="0.25">
      <c r="D221" s="29"/>
    </row>
    <row r="222" spans="4:4" x14ac:dyDescent="0.25">
      <c r="D222" s="29"/>
    </row>
    <row r="223" spans="4:4" x14ac:dyDescent="0.25">
      <c r="D223" s="29"/>
    </row>
    <row r="224" spans="4:4" x14ac:dyDescent="0.25">
      <c r="D224" s="29"/>
    </row>
    <row r="225" spans="4:4" x14ac:dyDescent="0.25">
      <c r="D225" s="29"/>
    </row>
    <row r="226" spans="4:4" x14ac:dyDescent="0.25">
      <c r="D226" s="29"/>
    </row>
    <row r="227" spans="4:4" x14ac:dyDescent="0.25">
      <c r="D227" s="29"/>
    </row>
    <row r="228" spans="4:4" x14ac:dyDescent="0.25">
      <c r="D228" s="29"/>
    </row>
    <row r="229" spans="4:4" x14ac:dyDescent="0.25">
      <c r="D229" s="29"/>
    </row>
  </sheetData>
  <mergeCells count="6">
    <mergeCell ref="B179:E179"/>
    <mergeCell ref="B189:E189"/>
    <mergeCell ref="A4:N4"/>
    <mergeCell ref="C135:G135"/>
    <mergeCell ref="H135:L135"/>
    <mergeCell ref="M135:Q13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theme="5" tint="0.39997558519241921"/>
  </sheetPr>
  <dimension ref="B4:Q21"/>
  <sheetViews>
    <sheetView zoomScaleNormal="100" workbookViewId="0">
      <selection activeCell="D22" sqref="D22"/>
    </sheetView>
  </sheetViews>
  <sheetFormatPr baseColWidth="10" defaultColWidth="11.5703125" defaultRowHeight="15" x14ac:dyDescent="0.25"/>
  <cols>
    <col min="1" max="1" width="5.140625" customWidth="1"/>
    <col min="2" max="2" width="21" customWidth="1"/>
    <col min="3" max="3" width="18.5703125" customWidth="1"/>
    <col min="4" max="4" width="14.5703125" bestFit="1" customWidth="1"/>
    <col min="5" max="5" width="10.140625" customWidth="1"/>
    <col min="6" max="6" width="18.5703125" bestFit="1" customWidth="1"/>
    <col min="7" max="7" width="20" customWidth="1"/>
    <col min="8" max="8" width="14.85546875" customWidth="1"/>
    <col min="9" max="9" width="7" customWidth="1"/>
    <col min="10" max="10" width="8.42578125" bestFit="1" customWidth="1"/>
    <col min="11" max="17" width="7" customWidth="1"/>
  </cols>
  <sheetData>
    <row r="4" spans="2:17" ht="23.25" x14ac:dyDescent="0.25">
      <c r="B4" s="909" t="s">
        <v>67</v>
      </c>
      <c r="C4" s="909"/>
      <c r="D4" s="909"/>
      <c r="E4" s="909"/>
      <c r="F4" s="909"/>
      <c r="G4" s="909"/>
      <c r="H4" s="909"/>
      <c r="I4" s="909"/>
      <c r="J4" s="909"/>
      <c r="K4" s="909"/>
      <c r="L4" s="909"/>
      <c r="M4" s="909"/>
      <c r="N4" s="909"/>
      <c r="O4" s="909"/>
      <c r="P4" s="909"/>
      <c r="Q4" s="909"/>
    </row>
    <row r="6" spans="2:17" x14ac:dyDescent="0.25">
      <c r="B6" s="913" t="s">
        <v>219</v>
      </c>
      <c r="C6" s="913"/>
      <c r="D6" s="913"/>
      <c r="F6" s="913" t="s">
        <v>221</v>
      </c>
      <c r="G6" s="912" t="s">
        <v>71</v>
      </c>
      <c r="H6" s="912"/>
    </row>
    <row r="7" spans="2:17" x14ac:dyDescent="0.25">
      <c r="B7" s="13" t="s">
        <v>68</v>
      </c>
      <c r="C7" s="4" t="b">
        <v>1</v>
      </c>
      <c r="D7" s="15">
        <f>+IF(C7=FALSE,"NA",'Datos Generales'!E36)</f>
        <v>0</v>
      </c>
      <c r="F7" s="913"/>
      <c r="G7" s="6" t="s">
        <v>220</v>
      </c>
      <c r="H7" s="6" t="s">
        <v>75</v>
      </c>
    </row>
    <row r="8" spans="2:17" x14ac:dyDescent="0.25">
      <c r="B8" s="13" t="s">
        <v>69</v>
      </c>
      <c r="C8" s="4" t="b">
        <v>0</v>
      </c>
      <c r="D8" s="16" t="str">
        <f>+IF(C8=FALSE,"NA",IF(C8=TRUE,('Datos Generales'!H34/'Datos Generales'!H35)*'Datos Generales'!H36*'Datos Generales'!H37))</f>
        <v>NA</v>
      </c>
      <c r="F8" s="4" t="s">
        <v>3</v>
      </c>
      <c r="G8" s="11">
        <f>+IF(C7=TRUE,$D$10*IF('Datos Generales'!F43="",'Datos Generales'!I43,'Datos Generales'!F43),IF(C9=TRUE,$D$10*IF('Datos Generales'!F43="",'Datos Generales'!I43,'Datos Generales'!F43)/'Datos Generales'!K36,$D$10*IF('Datos Generales'!F43="",'Datos Generales'!I43,'Datos Generales'!F43)/'Datos Generales'!H36))</f>
        <v>0</v>
      </c>
      <c r="H8" s="12">
        <f>+IF('Datos Generales'!H43&gt;0,'Datos Generales'!H43,'Datos Generales'!K43)</f>
        <v>7.5999999999999998E-2</v>
      </c>
      <c r="J8" s="41"/>
    </row>
    <row r="9" spans="2:17" x14ac:dyDescent="0.25">
      <c r="B9" s="13" t="s">
        <v>70</v>
      </c>
      <c r="C9" s="4" t="b">
        <v>0</v>
      </c>
      <c r="D9" s="16" t="str">
        <f>+IF(C9=FALSE,"NA",IF(C9=TRUE,'Datos Generales'!K34*'Datos Generales'!K38*(1+'Datos Generales'!K35)*365/1000*'Datos Generales'!K36*'Datos Generales'!K37))</f>
        <v>NA</v>
      </c>
      <c r="F9" s="4" t="s">
        <v>4</v>
      </c>
      <c r="G9" s="11">
        <f>+$D$10*IF('Datos Generales'!F44="",'Datos Generales'!I44,'Datos Generales'!F44)</f>
        <v>0</v>
      </c>
      <c r="H9" s="12">
        <f>+IF('Datos Generales'!H44&gt;0,'Datos Generales'!H44,'Datos Generales'!K44)</f>
        <v>5.5E-2</v>
      </c>
    </row>
    <row r="10" spans="2:17" x14ac:dyDescent="0.25">
      <c r="B10" s="910" t="s">
        <v>222</v>
      </c>
      <c r="C10" s="911"/>
      <c r="D10" s="16">
        <f>+IF(C7=TRUE,D7,IF(C8=TRUE,D8,IF(C9=TRUE,D9,"No se han diligenciado datos")))</f>
        <v>0</v>
      </c>
      <c r="F10" s="4" t="s">
        <v>6</v>
      </c>
      <c r="G10" s="11">
        <f>+$D$10*IF('Datos Generales'!F45="",'Datos Generales'!I45,'Datos Generales'!F45)</f>
        <v>0</v>
      </c>
      <c r="H10" s="12">
        <f>+IF('Datos Generales'!H45&gt;0,'Datos Generales'!H45,'Datos Generales'!K45)</f>
        <v>0.25</v>
      </c>
    </row>
    <row r="11" spans="2:17" x14ac:dyDescent="0.25">
      <c r="E11" s="10"/>
      <c r="F11" s="14" t="s">
        <v>5</v>
      </c>
      <c r="G11" s="11">
        <f>+$D$10*IF('Datos Generales'!F46="",'Datos Generales'!I46,'Datos Generales'!F46)</f>
        <v>0</v>
      </c>
      <c r="H11" s="12">
        <f>+IF('Datos Generales'!H46&gt;0,'Datos Generales'!H46,'Datos Generales'!K46)</f>
        <v>4.2999999999999997E-2</v>
      </c>
    </row>
    <row r="12" spans="2:17" x14ac:dyDescent="0.25">
      <c r="F12" s="4" t="s">
        <v>7</v>
      </c>
      <c r="G12" s="11">
        <f>+$D$10*IF('Datos Generales'!F47="",'Datos Generales'!I47,'Datos Generales'!F47)</f>
        <v>0</v>
      </c>
      <c r="H12" s="12">
        <f>+IF('Datos Generales'!H47&gt;0,'Datos Generales'!H47,'Datos Generales'!K47)</f>
        <v>0.1295</v>
      </c>
    </row>
    <row r="13" spans="2:17" x14ac:dyDescent="0.25">
      <c r="B13" t="s">
        <v>451</v>
      </c>
      <c r="C13" s="135">
        <f>+IF(tasarec2&gt;0,tasarec2,tasarec1)</f>
        <v>0</v>
      </c>
      <c r="F13" s="4" t="s">
        <v>72</v>
      </c>
      <c r="G13" s="11">
        <f>+$D$10*IF('Datos Generales'!F48="",'Datos Generales'!I48,'Datos Generales'!F48)</f>
        <v>0</v>
      </c>
      <c r="H13" s="12">
        <f>+IF('Datos Generales'!H48&gt;0,'Datos Generales'!H48,'Datos Generales'!K48)</f>
        <v>0.105</v>
      </c>
    </row>
    <row r="14" spans="2:17" x14ac:dyDescent="0.25">
      <c r="B14" t="s">
        <v>452</v>
      </c>
      <c r="C14" s="135">
        <f>+IF(tasarecind=0,tasarecref,tasarecind)</f>
        <v>1</v>
      </c>
      <c r="F14" s="4" t="s">
        <v>278</v>
      </c>
      <c r="G14" s="11">
        <f>+SUM(G8:G13)</f>
        <v>0</v>
      </c>
      <c r="H14" s="12">
        <f>+SUMPRODUCT(G8:G13,H8:H13)</f>
        <v>0</v>
      </c>
    </row>
    <row r="15" spans="2:17" x14ac:dyDescent="0.25">
      <c r="F15" s="4" t="s">
        <v>279</v>
      </c>
      <c r="G15" s="11">
        <f>+G14/12</f>
        <v>0</v>
      </c>
      <c r="H15" s="11">
        <f>+H14/12</f>
        <v>0</v>
      </c>
    </row>
    <row r="18" spans="2:17" ht="23.25" x14ac:dyDescent="0.25">
      <c r="B18" s="909" t="s">
        <v>63</v>
      </c>
      <c r="C18" s="909"/>
      <c r="D18" s="909"/>
      <c r="E18" s="909"/>
      <c r="F18" s="909"/>
      <c r="G18" s="909"/>
      <c r="H18" s="909"/>
      <c r="I18" s="909"/>
      <c r="J18" s="909"/>
      <c r="K18" s="909"/>
      <c r="L18" s="909"/>
      <c r="M18" s="909"/>
      <c r="N18" s="909"/>
      <c r="O18" s="909"/>
      <c r="P18" s="909"/>
      <c r="Q18" s="909"/>
    </row>
    <row r="20" spans="2:17" x14ac:dyDescent="0.25">
      <c r="B20" s="4" t="s">
        <v>62</v>
      </c>
      <c r="C20" s="4" t="str">
        <f>+'Datos Generales'!K11</f>
        <v>Selecccione</v>
      </c>
    </row>
    <row r="21" spans="2:17" x14ac:dyDescent="0.25">
      <c r="B21" s="4" t="s">
        <v>66</v>
      </c>
      <c r="C21" s="4">
        <f>+'Datos Generales'!K13</f>
        <v>0</v>
      </c>
    </row>
  </sheetData>
  <mergeCells count="6">
    <mergeCell ref="B4:Q4"/>
    <mergeCell ref="B18:Q18"/>
    <mergeCell ref="B10:C10"/>
    <mergeCell ref="G6:H6"/>
    <mergeCell ref="F6:F7"/>
    <mergeCell ref="B6:D6"/>
  </mergeCells>
  <conditionalFormatting sqref="H23">
    <cfRule type="expression" priority="1">
      <formula>"Cálculos!$C$6=VERDADERO"</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
    <tabColor theme="6" tint="0.39997558519241921"/>
  </sheetPr>
  <dimension ref="A1:CB559"/>
  <sheetViews>
    <sheetView showGridLines="0" topLeftCell="B283" zoomScale="90" zoomScaleNormal="90" workbookViewId="0">
      <selection activeCell="N276" sqref="N276:N281"/>
    </sheetView>
  </sheetViews>
  <sheetFormatPr baseColWidth="10" defaultColWidth="11.42578125" defaultRowHeight="15" x14ac:dyDescent="0.25"/>
  <cols>
    <col min="1" max="1" width="23.5703125" style="238" customWidth="1"/>
    <col min="2" max="2" width="4.140625" style="347" customWidth="1"/>
    <col min="3" max="3" width="3.85546875" style="245" customWidth="1"/>
    <col min="4" max="4" width="3.28515625" style="245" customWidth="1"/>
    <col min="5" max="5" width="24.28515625" style="245" customWidth="1"/>
    <col min="6" max="6" width="15.85546875" style="245" customWidth="1"/>
    <col min="7" max="7" width="16.42578125" style="245" customWidth="1"/>
    <col min="8" max="8" width="4.140625" style="245" customWidth="1"/>
    <col min="9" max="9" width="12.28515625" style="245" customWidth="1"/>
    <col min="10" max="10" width="5.5703125" style="245" customWidth="1"/>
    <col min="11" max="11" width="11.140625" style="245" customWidth="1"/>
    <col min="12" max="12" width="3" style="245" customWidth="1"/>
    <col min="13" max="13" width="18.5703125" style="245" customWidth="1"/>
    <col min="14" max="14" width="19.42578125" style="245" customWidth="1"/>
    <col min="15" max="16" width="16.7109375" style="245" customWidth="1"/>
    <col min="17" max="17" width="2.5703125" style="245" customWidth="1"/>
    <col min="18" max="18" width="4.7109375" style="245" customWidth="1"/>
    <col min="19" max="19" width="2.85546875" style="245" customWidth="1"/>
    <col min="20" max="80" width="11.42578125" style="238"/>
    <col min="81" max="16384" width="11.42578125" style="245"/>
  </cols>
  <sheetData>
    <row r="1" spans="2:19" s="238" customFormat="1" x14ac:dyDescent="0.25"/>
    <row r="2" spans="2:19" s="238" customFormat="1" x14ac:dyDescent="0.25"/>
    <row r="3" spans="2:19" s="238" customFormat="1" ht="23.25" x14ac:dyDescent="0.25">
      <c r="C3" s="874" t="s">
        <v>432</v>
      </c>
      <c r="D3" s="874"/>
      <c r="E3" s="874"/>
      <c r="F3" s="874"/>
      <c r="G3" s="874"/>
      <c r="H3" s="874"/>
      <c r="I3" s="874"/>
      <c r="J3" s="874"/>
      <c r="K3" s="874"/>
      <c r="L3" s="874"/>
      <c r="M3" s="874"/>
      <c r="N3" s="874"/>
      <c r="O3" s="874"/>
      <c r="P3" s="874"/>
      <c r="Q3" s="874"/>
      <c r="R3" s="874"/>
      <c r="S3" s="239"/>
    </row>
    <row r="4" spans="2:19" s="238" customFormat="1" ht="23.25" x14ac:dyDescent="0.25">
      <c r="C4" s="875" t="s">
        <v>80</v>
      </c>
      <c r="D4" s="875"/>
      <c r="E4" s="875"/>
      <c r="F4" s="875"/>
      <c r="G4" s="875"/>
      <c r="H4" s="875"/>
      <c r="I4" s="875"/>
      <c r="J4" s="875"/>
      <c r="K4" s="875"/>
      <c r="L4" s="875"/>
      <c r="M4" s="875"/>
      <c r="N4" s="875"/>
      <c r="O4" s="875"/>
      <c r="P4" s="875"/>
      <c r="Q4" s="875"/>
      <c r="R4" s="875"/>
      <c r="S4" s="240"/>
    </row>
    <row r="5" spans="2:19" s="238" customFormat="1" x14ac:dyDescent="0.25">
      <c r="C5" s="935" t="s">
        <v>218</v>
      </c>
      <c r="D5" s="935"/>
      <c r="E5" s="935"/>
      <c r="F5" s="935"/>
      <c r="G5" s="935"/>
      <c r="H5" s="935"/>
      <c r="I5" s="935"/>
      <c r="J5" s="935"/>
      <c r="K5" s="935"/>
      <c r="L5" s="935"/>
      <c r="M5" s="935"/>
      <c r="N5" s="935"/>
      <c r="O5" s="935"/>
      <c r="P5" s="935"/>
      <c r="Q5" s="935"/>
    </row>
    <row r="6" spans="2:19" s="238" customFormat="1" ht="19.5" thickBot="1" x14ac:dyDescent="0.3">
      <c r="C6" s="241"/>
      <c r="D6" s="241"/>
      <c r="E6" s="241"/>
      <c r="F6" s="241"/>
      <c r="G6" s="241"/>
      <c r="H6" s="241"/>
      <c r="I6" s="241"/>
      <c r="J6" s="241"/>
      <c r="K6" s="241"/>
      <c r="L6" s="241"/>
      <c r="M6" s="241"/>
      <c r="N6" s="241"/>
      <c r="O6" s="241"/>
      <c r="P6" s="241"/>
      <c r="Q6" s="241"/>
    </row>
    <row r="7" spans="2:19" x14ac:dyDescent="0.25">
      <c r="B7" s="242"/>
      <c r="C7" s="243"/>
      <c r="D7" s="243"/>
      <c r="E7" s="243"/>
      <c r="F7" s="243"/>
      <c r="G7" s="243"/>
      <c r="H7" s="243"/>
      <c r="I7" s="243"/>
      <c r="J7" s="243"/>
      <c r="K7" s="243"/>
      <c r="L7" s="243"/>
      <c r="M7" s="243"/>
      <c r="N7" s="243"/>
      <c r="O7" s="243"/>
      <c r="P7" s="243"/>
      <c r="Q7" s="243"/>
      <c r="R7" s="243"/>
      <c r="S7" s="244"/>
    </row>
    <row r="8" spans="2:19" ht="23.25" x14ac:dyDescent="0.25">
      <c r="B8" s="246"/>
      <c r="C8" s="942" t="s">
        <v>142</v>
      </c>
      <c r="D8" s="942"/>
      <c r="E8" s="942"/>
      <c r="F8" s="942"/>
      <c r="G8" s="942"/>
      <c r="H8" s="942"/>
      <c r="I8" s="942"/>
      <c r="J8" s="942"/>
      <c r="K8" s="942"/>
      <c r="L8" s="942"/>
      <c r="M8" s="942"/>
      <c r="N8" s="942"/>
      <c r="O8" s="942"/>
      <c r="P8" s="942"/>
      <c r="Q8" s="942"/>
      <c r="R8" s="942"/>
      <c r="S8" s="247"/>
    </row>
    <row r="9" spans="2:19" ht="9" customHeight="1" thickBot="1" x14ac:dyDescent="0.3">
      <c r="B9" s="246"/>
      <c r="C9" s="248"/>
      <c r="D9" s="248"/>
      <c r="E9" s="249"/>
      <c r="F9" s="249"/>
      <c r="G9" s="249"/>
      <c r="H9" s="249"/>
      <c r="I9" s="249"/>
      <c r="J9" s="249"/>
      <c r="K9" s="249"/>
      <c r="L9" s="249"/>
      <c r="M9" s="249"/>
      <c r="N9" s="249"/>
      <c r="O9" s="248"/>
      <c r="P9" s="248"/>
      <c r="Q9" s="248"/>
      <c r="R9" s="248"/>
      <c r="S9" s="247"/>
    </row>
    <row r="10" spans="2:19" ht="42" customHeight="1" thickTop="1" thickBot="1" x14ac:dyDescent="0.3">
      <c r="B10" s="246"/>
      <c r="C10" s="248"/>
      <c r="D10" s="958" t="s">
        <v>462</v>
      </c>
      <c r="E10" s="958"/>
      <c r="F10" s="958"/>
      <c r="G10" s="958"/>
      <c r="H10" s="958"/>
      <c r="I10" s="958"/>
      <c r="J10" s="958"/>
      <c r="K10" s="958"/>
      <c r="L10" s="249"/>
      <c r="M10" s="249"/>
      <c r="N10" s="249"/>
      <c r="O10" s="248"/>
      <c r="P10" s="248"/>
      <c r="Q10" s="248"/>
      <c r="R10" s="248"/>
      <c r="S10" s="247"/>
    </row>
    <row r="11" spans="2:19" ht="12.75" customHeight="1" thickTop="1" x14ac:dyDescent="0.25">
      <c r="B11" s="246"/>
      <c r="C11" s="248"/>
      <c r="D11" s="248"/>
      <c r="E11" s="248"/>
      <c r="F11" s="248"/>
      <c r="G11" s="249"/>
      <c r="H11" s="249"/>
      <c r="I11" s="249"/>
      <c r="J11" s="249"/>
      <c r="K11" s="249"/>
      <c r="L11" s="249"/>
      <c r="M11" s="249"/>
      <c r="N11" s="249"/>
      <c r="O11" s="248"/>
      <c r="P11" s="248"/>
      <c r="Q11" s="248"/>
      <c r="R11" s="248"/>
      <c r="S11" s="247"/>
    </row>
    <row r="12" spans="2:19" ht="9" customHeight="1" x14ac:dyDescent="0.25">
      <c r="B12" s="246"/>
      <c r="C12" s="248"/>
      <c r="D12" s="248"/>
      <c r="E12" s="249"/>
      <c r="F12" s="249"/>
      <c r="G12" s="249"/>
      <c r="H12" s="249"/>
      <c r="I12" s="249"/>
      <c r="J12" s="249"/>
      <c r="K12" s="249"/>
      <c r="L12" s="249"/>
      <c r="M12" s="249"/>
      <c r="N12" s="249"/>
      <c r="O12" s="248"/>
      <c r="P12" s="248"/>
      <c r="Q12" s="248"/>
      <c r="R12" s="248"/>
      <c r="S12" s="247"/>
    </row>
    <row r="13" spans="2:19" x14ac:dyDescent="0.25">
      <c r="B13" s="246"/>
      <c r="C13" s="250"/>
      <c r="D13" s="251"/>
      <c r="E13" s="251"/>
      <c r="F13" s="251"/>
      <c r="G13" s="251"/>
      <c r="H13" s="251"/>
      <c r="I13" s="251"/>
      <c r="J13" s="251"/>
      <c r="K13" s="251"/>
      <c r="L13" s="251"/>
      <c r="M13" s="251"/>
      <c r="N13" s="251"/>
      <c r="O13" s="251"/>
      <c r="P13" s="251"/>
      <c r="Q13" s="251"/>
      <c r="R13" s="252"/>
      <c r="S13" s="247"/>
    </row>
    <row r="14" spans="2:19" ht="18.75" x14ac:dyDescent="0.25">
      <c r="B14" s="246"/>
      <c r="C14" s="253"/>
      <c r="D14" s="254"/>
      <c r="E14" s="939" t="s">
        <v>213</v>
      </c>
      <c r="F14" s="939"/>
      <c r="G14" s="939"/>
      <c r="H14" s="939"/>
      <c r="I14" s="939"/>
      <c r="J14" s="939"/>
      <c r="K14" s="939"/>
      <c r="L14" s="939"/>
      <c r="M14" s="939"/>
      <c r="N14" s="939"/>
      <c r="O14" s="939"/>
      <c r="P14" s="939"/>
      <c r="Q14" s="254"/>
      <c r="R14" s="255"/>
      <c r="S14" s="247"/>
    </row>
    <row r="15" spans="2:19" x14ac:dyDescent="0.25">
      <c r="B15" s="246"/>
      <c r="C15" s="253"/>
      <c r="D15" s="254"/>
      <c r="E15" s="254"/>
      <c r="F15" s="254"/>
      <c r="G15" s="254"/>
      <c r="H15" s="254"/>
      <c r="I15" s="254"/>
      <c r="J15" s="254"/>
      <c r="K15" s="254"/>
      <c r="L15" s="254"/>
      <c r="M15" s="254"/>
      <c r="N15" s="254"/>
      <c r="O15" s="254"/>
      <c r="P15" s="254"/>
      <c r="Q15" s="254"/>
      <c r="R15" s="255"/>
      <c r="S15" s="247"/>
    </row>
    <row r="16" spans="2:19" ht="7.5" customHeight="1" x14ac:dyDescent="0.25">
      <c r="B16" s="246"/>
      <c r="C16" s="253"/>
      <c r="D16" s="254"/>
      <c r="E16" s="254"/>
      <c r="F16" s="254"/>
      <c r="G16" s="254"/>
      <c r="H16" s="254"/>
      <c r="I16" s="254"/>
      <c r="J16" s="254"/>
      <c r="K16" s="254"/>
      <c r="L16" s="254"/>
      <c r="M16" s="254"/>
      <c r="N16" s="254"/>
      <c r="O16" s="254"/>
      <c r="P16" s="254"/>
      <c r="Q16" s="254"/>
      <c r="R16" s="255"/>
      <c r="S16" s="247"/>
    </row>
    <row r="17" spans="1:80" ht="7.5" customHeight="1" x14ac:dyDescent="0.25">
      <c r="B17" s="246"/>
      <c r="C17" s="253"/>
      <c r="D17" s="254"/>
      <c r="E17" s="943"/>
      <c r="F17" s="943"/>
      <c r="G17" s="943"/>
      <c r="H17" s="943"/>
      <c r="I17" s="943"/>
      <c r="J17" s="943"/>
      <c r="K17" s="943"/>
      <c r="L17" s="943"/>
      <c r="M17" s="254"/>
      <c r="N17" s="254"/>
      <c r="O17" s="254"/>
      <c r="P17" s="254"/>
      <c r="Q17" s="254"/>
      <c r="R17" s="255"/>
      <c r="S17" s="247"/>
    </row>
    <row r="18" spans="1:80" x14ac:dyDescent="0.25">
      <c r="B18" s="246"/>
      <c r="C18" s="253"/>
      <c r="D18" s="254"/>
      <c r="E18" s="254"/>
      <c r="F18" s="254"/>
      <c r="G18" s="254"/>
      <c r="H18" s="254"/>
      <c r="I18" s="254"/>
      <c r="J18" s="254"/>
      <c r="K18" s="254"/>
      <c r="L18" s="254"/>
      <c r="M18" s="254"/>
      <c r="N18" s="254"/>
      <c r="O18" s="254"/>
      <c r="P18" s="254"/>
      <c r="Q18" s="254"/>
      <c r="R18" s="255"/>
      <c r="S18" s="247"/>
    </row>
    <row r="19" spans="1:80" ht="18" customHeight="1" x14ac:dyDescent="0.25">
      <c r="B19" s="246"/>
      <c r="C19" s="253"/>
      <c r="D19" s="254"/>
      <c r="E19" s="256" t="s">
        <v>217</v>
      </c>
      <c r="F19" s="254"/>
      <c r="G19" s="944" t="s">
        <v>434</v>
      </c>
      <c r="H19" s="945"/>
      <c r="I19" s="945"/>
      <c r="J19" s="945"/>
      <c r="K19" s="945"/>
      <c r="L19" s="946"/>
      <c r="M19" s="254"/>
      <c r="N19" s="254"/>
      <c r="O19" s="254"/>
      <c r="P19" s="254"/>
      <c r="Q19" s="254"/>
      <c r="R19" s="255"/>
      <c r="S19" s="247"/>
    </row>
    <row r="20" spans="1:80" x14ac:dyDescent="0.25">
      <c r="B20" s="246"/>
      <c r="C20" s="253"/>
      <c r="D20" s="254"/>
      <c r="E20" s="254"/>
      <c r="F20" s="254"/>
      <c r="G20" s="254"/>
      <c r="H20" s="254"/>
      <c r="I20" s="254"/>
      <c r="J20" s="254"/>
      <c r="K20" s="254"/>
      <c r="L20" s="254"/>
      <c r="M20" s="254"/>
      <c r="N20" s="254"/>
      <c r="O20" s="254"/>
      <c r="P20" s="254"/>
      <c r="Q20" s="254"/>
      <c r="R20" s="255"/>
      <c r="S20" s="247"/>
    </row>
    <row r="21" spans="1:80" ht="20.25" customHeight="1" x14ac:dyDescent="0.25">
      <c r="B21" s="246"/>
      <c r="C21" s="253"/>
      <c r="D21" s="254"/>
      <c r="E21" s="254"/>
      <c r="F21" s="257"/>
      <c r="G21" s="254"/>
      <c r="H21" s="254"/>
      <c r="I21" s="254"/>
      <c r="J21" s="254"/>
      <c r="K21" s="254"/>
      <c r="L21" s="254"/>
      <c r="M21" s="254"/>
      <c r="N21" s="254"/>
      <c r="O21" s="254"/>
      <c r="P21" s="254"/>
      <c r="Q21" s="254"/>
      <c r="R21" s="255"/>
      <c r="S21" s="247"/>
    </row>
    <row r="22" spans="1:80" ht="5.25" customHeight="1" x14ac:dyDescent="0.25">
      <c r="B22" s="246"/>
      <c r="C22" s="253"/>
      <c r="D22" s="254"/>
      <c r="E22" s="254"/>
      <c r="F22" s="254"/>
      <c r="G22" s="254"/>
      <c r="H22" s="254"/>
      <c r="I22" s="254"/>
      <c r="J22" s="254"/>
      <c r="K22" s="254"/>
      <c r="L22" s="254"/>
      <c r="M22" s="254"/>
      <c r="N22" s="254"/>
      <c r="O22" s="254"/>
      <c r="P22" s="254"/>
      <c r="Q22" s="254"/>
      <c r="R22" s="255"/>
      <c r="S22" s="247"/>
    </row>
    <row r="23" spans="1:80" x14ac:dyDescent="0.25">
      <c r="B23" s="246"/>
      <c r="C23" s="253"/>
      <c r="D23" s="250"/>
      <c r="E23" s="251"/>
      <c r="F23" s="251"/>
      <c r="G23" s="251"/>
      <c r="H23" s="251"/>
      <c r="I23" s="251"/>
      <c r="J23" s="252"/>
      <c r="K23" s="254"/>
      <c r="L23" s="258"/>
      <c r="M23" s="259"/>
      <c r="N23" s="259"/>
      <c r="O23" s="259"/>
      <c r="P23" s="259"/>
      <c r="Q23" s="260"/>
      <c r="R23" s="255"/>
      <c r="S23" s="247"/>
    </row>
    <row r="24" spans="1:80" ht="16.5" customHeight="1" x14ac:dyDescent="0.25">
      <c r="B24" s="246"/>
      <c r="C24" s="253"/>
      <c r="D24" s="253"/>
      <c r="E24" s="254"/>
      <c r="F24" s="254"/>
      <c r="G24" s="1014" t="str">
        <f>+IF(G19="Combinación de equipo de tracción manual con camión","Vehículo motorizado mediano",G19)</f>
        <v>Vehículo motorizado mediano</v>
      </c>
      <c r="H24" s="1016"/>
      <c r="I24" s="1015"/>
      <c r="J24" s="255"/>
      <c r="K24" s="254"/>
      <c r="L24" s="261"/>
      <c r="M24" s="262"/>
      <c r="N24" s="262"/>
      <c r="O24" s="1014" t="str">
        <f>+IF(G19="Combinación de equipo de tracción manual con camión","Equipo de tracción manual","")</f>
        <v>Equipo de tracción manual</v>
      </c>
      <c r="P24" s="1015"/>
      <c r="Q24" s="263"/>
      <c r="R24" s="255"/>
      <c r="S24" s="247"/>
    </row>
    <row r="25" spans="1:80" ht="32.25" customHeight="1" x14ac:dyDescent="0.25">
      <c r="B25" s="246"/>
      <c r="C25" s="253"/>
      <c r="D25" s="253"/>
      <c r="E25" s="254"/>
      <c r="F25" s="254"/>
      <c r="G25" s="264" t="s">
        <v>103</v>
      </c>
      <c r="H25" s="1024" t="s">
        <v>104</v>
      </c>
      <c r="I25" s="1024"/>
      <c r="J25" s="265"/>
      <c r="K25" s="254"/>
      <c r="L25" s="261"/>
      <c r="M25" s="262"/>
      <c r="N25" s="262"/>
      <c r="O25" s="266" t="str">
        <f>+IF(G19="Combinación de equipo de tracción manual con camión","Digite el valor","")</f>
        <v>Digite el valor</v>
      </c>
      <c r="P25" s="266" t="str">
        <f>+IF(G19="Combinación de equipo de tracción manual con camión","Valor de Referencia","")</f>
        <v>Valor de Referencia</v>
      </c>
      <c r="Q25" s="263"/>
      <c r="R25" s="255"/>
      <c r="S25" s="247"/>
    </row>
    <row r="26" spans="1:80" ht="15" customHeight="1" x14ac:dyDescent="0.25">
      <c r="B26" s="246"/>
      <c r="C26" s="253"/>
      <c r="D26" s="253"/>
      <c r="E26" s="256" t="s">
        <v>463</v>
      </c>
      <c r="F26" s="254"/>
      <c r="G26" s="1011" t="s">
        <v>465</v>
      </c>
      <c r="H26" s="1011"/>
      <c r="I26" s="1011"/>
      <c r="J26" s="265"/>
      <c r="K26" s="254"/>
      <c r="L26" s="261"/>
      <c r="M26" s="256" t="s">
        <v>463</v>
      </c>
      <c r="N26" s="262"/>
      <c r="O26" s="1011" t="s">
        <v>464</v>
      </c>
      <c r="P26" s="1011"/>
      <c r="Q26" s="263"/>
      <c r="R26" s="255"/>
      <c r="S26" s="247"/>
    </row>
    <row r="27" spans="1:80" ht="18.75" customHeight="1" x14ac:dyDescent="0.25">
      <c r="B27" s="246"/>
      <c r="C27" s="253"/>
      <c r="D27" s="253"/>
      <c r="E27" s="254" t="str">
        <f>+CONCATENATE("Capacidad ",(IF(G26="Volumen (m3)"," M3",IF(G26="Peso (Toneladas)","TON",""))))</f>
        <v>Capacidad TON</v>
      </c>
      <c r="F27" s="254"/>
      <c r="G27" s="226"/>
      <c r="H27" s="1012">
        <f>+IFERROR(IF(G26="Peso (Toneladas)",HLOOKUP('Datos Recicladores'!G19,Referencias!C76:F93,2,0),HLOOKUP('Datos Recicladores'!G19,Referencias!C76:F93,3,0)),0)</f>
        <v>3.5</v>
      </c>
      <c r="I27" s="1013"/>
      <c r="J27" s="265"/>
      <c r="K27" s="254"/>
      <c r="L27" s="261"/>
      <c r="M27" s="254" t="str">
        <f>+CONCATENATE("Capacidad ",(IF(O26="Volumen (m3)"," M3",IF(O26="Peso (Toneladas)","TON",""))))</f>
        <v>Capacidad  M3</v>
      </c>
      <c r="N27" s="262"/>
      <c r="O27" s="227"/>
      <c r="P27" s="348">
        <f>+IFERROR(IF(O26="Peso (Toneladas)",Referencias!E77,Referencias!E78),0)</f>
        <v>3.125</v>
      </c>
      <c r="Q27" s="267"/>
      <c r="R27" s="255"/>
      <c r="S27" s="247"/>
    </row>
    <row r="28" spans="1:80" s="277" customFormat="1" ht="18.75" customHeight="1" x14ac:dyDescent="0.25">
      <c r="A28" s="268"/>
      <c r="B28" s="269"/>
      <c r="C28" s="270"/>
      <c r="D28" s="270"/>
      <c r="E28" s="256" t="s">
        <v>88</v>
      </c>
      <c r="F28" s="271"/>
      <c r="G28" s="227"/>
      <c r="H28" s="1029">
        <f>+IFERROR(HLOOKUP('Datos Recicladores'!G19,Referencias!C76:F93,5,0),0)</f>
        <v>0.476190476190476</v>
      </c>
      <c r="I28" s="1030"/>
      <c r="J28" s="272"/>
      <c r="K28" s="271"/>
      <c r="L28" s="273"/>
      <c r="M28" s="256" t="s">
        <v>89</v>
      </c>
      <c r="N28" s="274"/>
      <c r="O28" s="227"/>
      <c r="P28" s="348">
        <f>+Referencias!E81</f>
        <v>2</v>
      </c>
      <c r="Q28" s="275"/>
      <c r="R28" s="272"/>
      <c r="S28" s="276"/>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row>
    <row r="29" spans="1:80" s="277" customFormat="1" ht="18.75" customHeight="1" x14ac:dyDescent="0.25">
      <c r="A29" s="268"/>
      <c r="B29" s="269"/>
      <c r="C29" s="270"/>
      <c r="D29" s="270"/>
      <c r="E29" s="256" t="str">
        <f>+IF(G19="Combinación de equipo de tracción manual con camión","","Tiempo de recolección (horas)")</f>
        <v/>
      </c>
      <c r="F29" s="271"/>
      <c r="G29" s="227"/>
      <c r="H29" s="1027">
        <f>+IFERROR(HLOOKUP('Datos Recicladores'!G19,Referencias!C76:F93,6,0),0)</f>
        <v>0</v>
      </c>
      <c r="I29" s="1028"/>
      <c r="J29" s="272"/>
      <c r="K29" s="271"/>
      <c r="L29" s="273"/>
      <c r="M29" s="256" t="s">
        <v>90</v>
      </c>
      <c r="N29" s="274"/>
      <c r="O29" s="227"/>
      <c r="P29" s="348">
        <f>+Referencias!E82</f>
        <v>0.16666666666666666</v>
      </c>
      <c r="Q29" s="275"/>
      <c r="R29" s="272"/>
      <c r="S29" s="276"/>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row>
    <row r="30" spans="1:80" s="277" customFormat="1" ht="18.75" customHeight="1" x14ac:dyDescent="0.25">
      <c r="A30" s="268"/>
      <c r="B30" s="269"/>
      <c r="C30" s="270"/>
      <c r="D30" s="270"/>
      <c r="E30" s="256" t="s">
        <v>90</v>
      </c>
      <c r="F30" s="271"/>
      <c r="G30" s="227"/>
      <c r="H30" s="1025">
        <f>+IFERROR(HLOOKUP('Datos Recicladores'!G19,Referencias!C76:F93,7,0),0)</f>
        <v>0.33333333333333331</v>
      </c>
      <c r="I30" s="1026"/>
      <c r="J30" s="272"/>
      <c r="K30" s="271"/>
      <c r="L30" s="273"/>
      <c r="M30" s="256" t="s">
        <v>91</v>
      </c>
      <c r="N30" s="274"/>
      <c r="O30" s="227"/>
      <c r="P30" s="348">
        <f>+Referencias!E83</f>
        <v>0.16666666666666666</v>
      </c>
      <c r="Q30" s="275"/>
      <c r="R30" s="272"/>
      <c r="S30" s="276"/>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8"/>
      <c r="BV30" s="268"/>
      <c r="BW30" s="268"/>
      <c r="BX30" s="268"/>
      <c r="BY30" s="268"/>
      <c r="BZ30" s="268"/>
      <c r="CA30" s="268"/>
      <c r="CB30" s="268"/>
    </row>
    <row r="31" spans="1:80" s="277" customFormat="1" ht="18.75" customHeight="1" x14ac:dyDescent="0.25">
      <c r="A31" s="268"/>
      <c r="B31" s="269"/>
      <c r="C31" s="270"/>
      <c r="D31" s="270"/>
      <c r="E31" s="256" t="s">
        <v>91</v>
      </c>
      <c r="F31" s="271"/>
      <c r="G31" s="227"/>
      <c r="H31" s="1025">
        <f>+IFERROR(HLOOKUP('Datos Recicladores'!G19,Referencias!C76:F93,8,0),0)</f>
        <v>0.33333333333333331</v>
      </c>
      <c r="I31" s="1026"/>
      <c r="J31" s="272"/>
      <c r="K31" s="271"/>
      <c r="L31" s="261"/>
      <c r="M31" s="256" t="s">
        <v>92</v>
      </c>
      <c r="N31" s="274"/>
      <c r="O31" s="227"/>
      <c r="P31" s="349">
        <f>+Referencias!E84</f>
        <v>1</v>
      </c>
      <c r="Q31" s="275"/>
      <c r="R31" s="272"/>
      <c r="S31" s="276"/>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row>
    <row r="32" spans="1:80" s="277" customFormat="1" ht="24" customHeight="1" x14ac:dyDescent="0.25">
      <c r="A32" s="268"/>
      <c r="B32" s="269"/>
      <c r="C32" s="270"/>
      <c r="D32" s="270"/>
      <c r="E32" s="278" t="s">
        <v>435</v>
      </c>
      <c r="F32" s="271"/>
      <c r="G32" s="227"/>
      <c r="H32" s="940">
        <f>+IFERROR(HLOOKUP('Datos Recicladores'!G19,Referencias!C76:F93,9,0),0)</f>
        <v>1</v>
      </c>
      <c r="I32" s="941"/>
      <c r="J32" s="272"/>
      <c r="K32" s="271"/>
      <c r="L32" s="273"/>
      <c r="M32" s="256" t="s">
        <v>94</v>
      </c>
      <c r="N32" s="274"/>
      <c r="O32" s="227"/>
      <c r="P32" s="350">
        <f>+Referencias!E86</f>
        <v>0.1</v>
      </c>
      <c r="Q32" s="279"/>
      <c r="R32" s="272"/>
      <c r="S32" s="276"/>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row>
    <row r="33" spans="1:80" s="277" customFormat="1" ht="18.75" customHeight="1" x14ac:dyDescent="0.25">
      <c r="A33" s="268"/>
      <c r="B33" s="269"/>
      <c r="C33" s="270"/>
      <c r="D33" s="270"/>
      <c r="E33" s="256" t="s">
        <v>94</v>
      </c>
      <c r="F33" s="271"/>
      <c r="G33" s="228"/>
      <c r="H33" s="1022">
        <f>+IFERROR(HLOOKUP('Datos Recicladores'!G19,Referencias!C76:F93,11,0),0)</f>
        <v>0.1</v>
      </c>
      <c r="I33" s="1023"/>
      <c r="J33" s="272"/>
      <c r="K33" s="271"/>
      <c r="L33" s="273"/>
      <c r="M33" s="256" t="s">
        <v>95</v>
      </c>
      <c r="N33" s="274"/>
      <c r="O33" s="227"/>
      <c r="P33" s="349">
        <f>+Referencias!E87</f>
        <v>2</v>
      </c>
      <c r="Q33" s="279"/>
      <c r="R33" s="272"/>
      <c r="S33" s="276"/>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row>
    <row r="34" spans="1:80" s="277" customFormat="1" ht="18.75" customHeight="1" x14ac:dyDescent="0.25">
      <c r="A34" s="268"/>
      <c r="B34" s="269"/>
      <c r="C34" s="270"/>
      <c r="D34" s="270"/>
      <c r="E34" s="256" t="s">
        <v>95</v>
      </c>
      <c r="F34" s="271"/>
      <c r="G34" s="227"/>
      <c r="H34" s="1020">
        <f>+IFERROR(HLOOKUP('Datos Recicladores'!G19,Referencias!C76:F93,12,0),0)</f>
        <v>12</v>
      </c>
      <c r="I34" s="1021"/>
      <c r="J34" s="272"/>
      <c r="K34" s="271"/>
      <c r="L34" s="273"/>
      <c r="M34" s="256" t="s">
        <v>454</v>
      </c>
      <c r="N34" s="274"/>
      <c r="O34" s="1011" t="s">
        <v>113</v>
      </c>
      <c r="P34" s="1011"/>
      <c r="Q34" s="279"/>
      <c r="R34" s="272"/>
      <c r="S34" s="276"/>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row>
    <row r="35" spans="1:80" s="277" customFormat="1" ht="18.75" customHeight="1" x14ac:dyDescent="0.25">
      <c r="A35" s="268"/>
      <c r="B35" s="269"/>
      <c r="C35" s="270"/>
      <c r="D35" s="270"/>
      <c r="E35" s="256" t="s">
        <v>453</v>
      </c>
      <c r="F35" s="271"/>
      <c r="G35" s="959" t="s">
        <v>106</v>
      </c>
      <c r="H35" s="960"/>
      <c r="I35" s="961"/>
      <c r="J35" s="272"/>
      <c r="K35" s="271"/>
      <c r="L35" s="273"/>
      <c r="M35" s="256" t="str">
        <f>+CONCATENATE(O34," ","de Recolección")</f>
        <v>Longitud (km) de Recolección</v>
      </c>
      <c r="N35" s="274"/>
      <c r="O35" s="227"/>
      <c r="P35" s="348">
        <f>+IFERROR(IF(O34="Velocidad (km/hr)",Referencias!E90,Referencias!E92),0)</f>
        <v>0.98571428571428577</v>
      </c>
      <c r="Q35" s="279"/>
      <c r="R35" s="272"/>
      <c r="S35" s="276"/>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row>
    <row r="36" spans="1:80" s="277" customFormat="1" ht="18.75" customHeight="1" x14ac:dyDescent="0.25">
      <c r="A36" s="268"/>
      <c r="B36" s="269"/>
      <c r="C36" s="270"/>
      <c r="D36" s="270"/>
      <c r="E36" s="254" t="str">
        <f>+CONCATENATE("Consumo"," ",G35)</f>
        <v>Consumo Gal/Km</v>
      </c>
      <c r="F36" s="271"/>
      <c r="G36" s="227"/>
      <c r="H36" s="1018">
        <f>+IFERROR(IF('Datos Recicladores'!G35="Gal/Km",HLOOKUP('Datos Recicladores'!G19,Referencias!C76:F93,13,0),HLOOKUP('Datos Recicladores'!G19,Referencias!C76:F93,14,0)),0)</f>
        <v>0.08</v>
      </c>
      <c r="I36" s="1019"/>
      <c r="J36" s="272"/>
      <c r="K36" s="271"/>
      <c r="L36" s="273"/>
      <c r="M36" s="271"/>
      <c r="N36" s="271"/>
      <c r="O36" s="271"/>
      <c r="P36" s="271"/>
      <c r="Q36" s="279"/>
      <c r="R36" s="272"/>
      <c r="S36" s="276"/>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c r="BO36" s="268"/>
      <c r="BP36" s="268"/>
      <c r="BQ36" s="268"/>
      <c r="BR36" s="268"/>
      <c r="BS36" s="268"/>
      <c r="BT36" s="268"/>
      <c r="BU36" s="268"/>
      <c r="BV36" s="268"/>
      <c r="BW36" s="268"/>
      <c r="BX36" s="268"/>
      <c r="BY36" s="268"/>
      <c r="BZ36" s="268"/>
      <c r="CA36" s="268"/>
      <c r="CB36" s="268"/>
    </row>
    <row r="37" spans="1:80" s="277" customFormat="1" ht="18.75" customHeight="1" x14ac:dyDescent="0.25">
      <c r="A37" s="268"/>
      <c r="B37" s="269"/>
      <c r="C37" s="270"/>
      <c r="D37" s="270"/>
      <c r="E37" s="256" t="s">
        <v>454</v>
      </c>
      <c r="F37" s="271"/>
      <c r="G37" s="959" t="s">
        <v>112</v>
      </c>
      <c r="H37" s="960"/>
      <c r="I37" s="961"/>
      <c r="J37" s="272"/>
      <c r="K37" s="271"/>
      <c r="L37" s="273"/>
      <c r="Q37" s="280"/>
      <c r="R37" s="272"/>
      <c r="S37" s="276"/>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c r="BJ37" s="268"/>
      <c r="BK37" s="268"/>
      <c r="BL37" s="268"/>
      <c r="BM37" s="268"/>
      <c r="BN37" s="268"/>
      <c r="BO37" s="268"/>
      <c r="BP37" s="268"/>
      <c r="BQ37" s="268"/>
      <c r="BR37" s="268"/>
      <c r="BS37" s="268"/>
      <c r="BT37" s="268"/>
      <c r="BU37" s="268"/>
      <c r="BV37" s="268"/>
      <c r="BW37" s="268"/>
      <c r="BX37" s="268"/>
      <c r="BY37" s="268"/>
      <c r="BZ37" s="268"/>
      <c r="CA37" s="268"/>
      <c r="CB37" s="268"/>
    </row>
    <row r="38" spans="1:80" s="277" customFormat="1" ht="18.75" customHeight="1" x14ac:dyDescent="0.25">
      <c r="A38" s="268"/>
      <c r="B38" s="269"/>
      <c r="C38" s="270"/>
      <c r="D38" s="270"/>
      <c r="E38" s="281" t="str">
        <f>+CONCATENATE(G37," ","de Transporte")</f>
        <v>Velocidad (km/hr) de Transporte</v>
      </c>
      <c r="F38" s="271"/>
      <c r="G38" s="229"/>
      <c r="H38" s="940">
        <f>+IFERROR(IF(G37="Velocidad (km/hr)",HLOOKUP(G19,Referencias!C76:F93,16,0),HLOOKUP(G19,Referencias!C76:F93,18,0)),0)</f>
        <v>42</v>
      </c>
      <c r="I38" s="941"/>
      <c r="J38" s="272"/>
      <c r="K38" s="271"/>
      <c r="L38" s="273"/>
      <c r="Q38" s="272"/>
      <c r="R38" s="272"/>
      <c r="S38" s="276"/>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c r="BQ38" s="268"/>
      <c r="BR38" s="268"/>
      <c r="BS38" s="268"/>
      <c r="BT38" s="268"/>
      <c r="BU38" s="268"/>
      <c r="BV38" s="268"/>
      <c r="BW38" s="268"/>
      <c r="BX38" s="268"/>
      <c r="BY38" s="268"/>
      <c r="BZ38" s="268"/>
      <c r="CA38" s="268"/>
      <c r="CB38" s="268"/>
    </row>
    <row r="39" spans="1:80" s="277" customFormat="1" ht="18.75" customHeight="1" x14ac:dyDescent="0.25">
      <c r="A39" s="268"/>
      <c r="B39" s="269"/>
      <c r="C39" s="270"/>
      <c r="D39" s="270"/>
      <c r="E39" s="256" t="str">
        <f>+IF(G19="Combinación de equipo de tracción manual con camión","",CONCATENATE(G37," ","de Recolección"))</f>
        <v/>
      </c>
      <c r="F39" s="271"/>
      <c r="G39" s="229"/>
      <c r="H39" s="1017">
        <f>IFERROR(IF(G19="Combinación de Equipo de tracción manual con camión",0,IF(G37="Velocidad (km/hr)",HLOOKUP(G19,Referencias!C76:F93,15,0),HLOOKUP(G19,Referencias!C76:F93,17,0))),0)</f>
        <v>0</v>
      </c>
      <c r="I39" s="1017"/>
      <c r="J39" s="272"/>
      <c r="K39" s="271"/>
      <c r="L39" s="273"/>
      <c r="Q39" s="272"/>
      <c r="R39" s="272"/>
      <c r="S39" s="276"/>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row>
    <row r="40" spans="1:80" s="277" customFormat="1" ht="18.75" customHeight="1" x14ac:dyDescent="0.25">
      <c r="A40" s="268"/>
      <c r="B40" s="269"/>
      <c r="C40" s="270"/>
      <c r="D40" s="270"/>
      <c r="E40" s="254" t="s">
        <v>273</v>
      </c>
      <c r="F40" s="271"/>
      <c r="G40" s="227"/>
      <c r="H40" s="253"/>
      <c r="I40" s="254"/>
      <c r="J40" s="272"/>
      <c r="K40" s="271"/>
      <c r="L40" s="273"/>
      <c r="Q40" s="272"/>
      <c r="R40" s="272"/>
      <c r="S40" s="276"/>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8"/>
      <c r="BH40" s="268"/>
      <c r="BI40" s="268"/>
      <c r="BJ40" s="268"/>
      <c r="BK40" s="268"/>
      <c r="BL40" s="268"/>
      <c r="BM40" s="268"/>
      <c r="BN40" s="268"/>
      <c r="BO40" s="268"/>
      <c r="BP40" s="268"/>
      <c r="BQ40" s="268"/>
      <c r="BR40" s="268"/>
      <c r="BS40" s="268"/>
      <c r="BT40" s="268"/>
      <c r="BU40" s="268"/>
      <c r="BV40" s="268"/>
      <c r="BW40" s="268"/>
      <c r="BX40" s="268"/>
      <c r="BY40" s="268"/>
      <c r="BZ40" s="268"/>
      <c r="CA40" s="268"/>
      <c r="CB40" s="268"/>
    </row>
    <row r="41" spans="1:80" s="277" customFormat="1" ht="18.75" customHeight="1" x14ac:dyDescent="0.25">
      <c r="A41" s="268"/>
      <c r="B41" s="269"/>
      <c r="C41" s="270"/>
      <c r="D41" s="270"/>
      <c r="E41" s="254" t="s">
        <v>274</v>
      </c>
      <c r="F41" s="271"/>
      <c r="G41" s="227"/>
      <c r="H41" s="254"/>
      <c r="I41" s="254"/>
      <c r="J41" s="272"/>
      <c r="K41" s="271"/>
      <c r="L41" s="273"/>
      <c r="Q41" s="272"/>
      <c r="R41" s="272"/>
      <c r="S41" s="276"/>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8"/>
      <c r="BR41" s="268"/>
      <c r="BS41" s="268"/>
      <c r="BT41" s="268"/>
      <c r="BU41" s="268"/>
      <c r="BV41" s="268"/>
      <c r="BW41" s="268"/>
      <c r="BX41" s="268"/>
      <c r="BY41" s="268"/>
      <c r="BZ41" s="268"/>
      <c r="CA41" s="268"/>
      <c r="CB41" s="268"/>
    </row>
    <row r="42" spans="1:80" s="277" customFormat="1" ht="28.5" customHeight="1" x14ac:dyDescent="0.25">
      <c r="A42" s="268"/>
      <c r="B42" s="269"/>
      <c r="C42" s="270"/>
      <c r="D42" s="270"/>
      <c r="E42" s="271"/>
      <c r="F42" s="271"/>
      <c r="G42" s="271"/>
      <c r="H42" s="271"/>
      <c r="I42" s="271"/>
      <c r="J42" s="272"/>
      <c r="K42" s="271"/>
      <c r="L42" s="273"/>
      <c r="Q42" s="272"/>
      <c r="R42" s="272"/>
      <c r="S42" s="276"/>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c r="BA42" s="268"/>
      <c r="BB42" s="268"/>
      <c r="BC42" s="268"/>
      <c r="BD42" s="268"/>
      <c r="BE42" s="268"/>
      <c r="BF42" s="268"/>
      <c r="BG42" s="268"/>
      <c r="BH42" s="268"/>
      <c r="BI42" s="268"/>
      <c r="BJ42" s="268"/>
      <c r="BK42" s="268"/>
      <c r="BL42" s="268"/>
      <c r="BM42" s="268"/>
      <c r="BN42" s="268"/>
      <c r="BO42" s="268"/>
      <c r="BP42" s="268"/>
      <c r="BQ42" s="268"/>
      <c r="BR42" s="268"/>
      <c r="BS42" s="268"/>
      <c r="BT42" s="268"/>
      <c r="BU42" s="268"/>
      <c r="BV42" s="268"/>
      <c r="BW42" s="268"/>
      <c r="BX42" s="268"/>
      <c r="BY42" s="268"/>
      <c r="BZ42" s="268"/>
      <c r="CA42" s="268"/>
      <c r="CB42" s="268"/>
    </row>
    <row r="43" spans="1:80" x14ac:dyDescent="0.25">
      <c r="B43" s="246"/>
      <c r="C43" s="253"/>
      <c r="D43" s="282"/>
      <c r="E43" s="283"/>
      <c r="F43" s="284"/>
      <c r="G43" s="284"/>
      <c r="H43" s="284"/>
      <c r="I43" s="284"/>
      <c r="J43" s="285"/>
      <c r="K43" s="271"/>
      <c r="L43" s="286"/>
      <c r="M43" s="287"/>
      <c r="N43" s="287"/>
      <c r="O43" s="287"/>
      <c r="P43" s="287"/>
      <c r="Q43" s="288"/>
      <c r="R43" s="255"/>
      <c r="S43" s="247"/>
    </row>
    <row r="44" spans="1:80" x14ac:dyDescent="0.25">
      <c r="B44" s="246"/>
      <c r="C44" s="282"/>
      <c r="D44" s="287"/>
      <c r="E44" s="287"/>
      <c r="F44" s="287"/>
      <c r="G44" s="287"/>
      <c r="H44" s="287"/>
      <c r="I44" s="287"/>
      <c r="J44" s="287"/>
      <c r="K44" s="287"/>
      <c r="L44" s="287"/>
      <c r="M44" s="287"/>
      <c r="N44" s="287"/>
      <c r="O44" s="287"/>
      <c r="P44" s="287"/>
      <c r="Q44" s="287"/>
      <c r="R44" s="288"/>
      <c r="S44" s="247"/>
    </row>
    <row r="45" spans="1:80" x14ac:dyDescent="0.25">
      <c r="B45" s="246"/>
      <c r="C45" s="254"/>
      <c r="D45" s="254"/>
      <c r="E45" s="254"/>
      <c r="F45" s="254"/>
      <c r="G45" s="254"/>
      <c r="H45" s="254"/>
      <c r="I45" s="254"/>
      <c r="J45" s="254"/>
      <c r="K45" s="254"/>
      <c r="L45" s="254"/>
      <c r="M45" s="254"/>
      <c r="N45" s="254"/>
      <c r="O45" s="254"/>
      <c r="P45" s="254"/>
      <c r="Q45" s="254"/>
      <c r="R45" s="254"/>
      <c r="S45" s="247"/>
    </row>
    <row r="46" spans="1:80" x14ac:dyDescent="0.25">
      <c r="B46" s="246"/>
      <c r="C46" s="254"/>
      <c r="D46" s="254"/>
      <c r="E46" s="254"/>
      <c r="F46" s="254"/>
      <c r="G46" s="254"/>
      <c r="H46" s="254"/>
      <c r="I46" s="254"/>
      <c r="J46" s="254"/>
      <c r="K46" s="254"/>
      <c r="L46" s="254"/>
      <c r="M46" s="254"/>
      <c r="N46" s="254"/>
      <c r="O46" s="254"/>
      <c r="P46" s="254"/>
      <c r="Q46" s="254"/>
      <c r="R46" s="254"/>
      <c r="S46" s="247"/>
    </row>
    <row r="47" spans="1:80" x14ac:dyDescent="0.25">
      <c r="B47" s="246"/>
      <c r="C47" s="289"/>
      <c r="D47" s="290"/>
      <c r="E47" s="290"/>
      <c r="F47" s="290"/>
      <c r="G47" s="290"/>
      <c r="H47" s="290"/>
      <c r="I47" s="290"/>
      <c r="J47" s="290"/>
      <c r="K47" s="290"/>
      <c r="L47" s="290"/>
      <c r="M47" s="290"/>
      <c r="N47" s="290"/>
      <c r="O47" s="290"/>
      <c r="P47" s="290"/>
      <c r="Q47" s="290"/>
      <c r="R47" s="291"/>
      <c r="S47" s="247"/>
    </row>
    <row r="48" spans="1:80" ht="18.75" x14ac:dyDescent="0.25">
      <c r="B48" s="246"/>
      <c r="C48" s="292"/>
      <c r="D48" s="248"/>
      <c r="E48" s="936" t="s">
        <v>593</v>
      </c>
      <c r="F48" s="937"/>
      <c r="G48" s="937"/>
      <c r="H48" s="937"/>
      <c r="I48" s="937"/>
      <c r="J48" s="937"/>
      <c r="K48" s="937"/>
      <c r="L48" s="937"/>
      <c r="M48" s="937"/>
      <c r="N48" s="937"/>
      <c r="O48" s="937"/>
      <c r="P48" s="938"/>
      <c r="Q48" s="248"/>
      <c r="R48" s="293"/>
      <c r="S48" s="247"/>
    </row>
    <row r="49" spans="2:19" x14ac:dyDescent="0.25">
      <c r="B49" s="246"/>
      <c r="C49" s="292"/>
      <c r="D49" s="248"/>
      <c r="E49" s="248"/>
      <c r="F49" s="248"/>
      <c r="G49" s="248"/>
      <c r="H49" s="248"/>
      <c r="I49" s="248"/>
      <c r="J49" s="248"/>
      <c r="K49" s="248"/>
      <c r="L49" s="248"/>
      <c r="M49" s="248"/>
      <c r="N49" s="248"/>
      <c r="O49" s="248"/>
      <c r="P49" s="248"/>
      <c r="Q49" s="248"/>
      <c r="R49" s="293"/>
      <c r="S49" s="247"/>
    </row>
    <row r="50" spans="2:19" ht="35.450000000000003" customHeight="1" x14ac:dyDescent="0.25">
      <c r="B50" s="246"/>
      <c r="C50" s="292"/>
      <c r="D50" s="248"/>
      <c r="E50" s="1000" t="s">
        <v>457</v>
      </c>
      <c r="F50" s="1000"/>
      <c r="G50" s="1000"/>
      <c r="H50" s="1000"/>
      <c r="I50" s="1000"/>
      <c r="J50" s="1000"/>
      <c r="K50" s="1000"/>
      <c r="L50" s="1000"/>
      <c r="M50" s="1000"/>
      <c r="N50" s="1000"/>
      <c r="O50" s="1000"/>
      <c r="P50" s="1000"/>
      <c r="Q50" s="248"/>
      <c r="R50" s="293"/>
      <c r="S50" s="247"/>
    </row>
    <row r="51" spans="2:19" ht="36.6" customHeight="1" x14ac:dyDescent="0.25">
      <c r="B51" s="246"/>
      <c r="C51" s="292"/>
      <c r="D51" s="248"/>
      <c r="E51" s="294" t="s">
        <v>594</v>
      </c>
      <c r="F51" s="248"/>
      <c r="G51" s="248"/>
      <c r="H51" s="248"/>
      <c r="I51" s="248"/>
      <c r="J51" s="248"/>
      <c r="K51" s="248"/>
      <c r="L51" s="248"/>
      <c r="M51" s="248"/>
      <c r="N51" s="248"/>
      <c r="O51" s="248"/>
      <c r="P51" s="248"/>
      <c r="Q51" s="248"/>
      <c r="R51" s="293"/>
      <c r="S51" s="247"/>
    </row>
    <row r="52" spans="2:19" ht="60" x14ac:dyDescent="0.25">
      <c r="B52" s="246"/>
      <c r="C52" s="292"/>
      <c r="D52" s="248"/>
      <c r="E52" s="931" t="s">
        <v>83</v>
      </c>
      <c r="F52" s="932"/>
      <c r="G52" s="932" t="s">
        <v>110</v>
      </c>
      <c r="H52" s="921"/>
      <c r="I52" s="925" t="s">
        <v>266</v>
      </c>
      <c r="J52" s="927"/>
      <c r="K52" s="931" t="s">
        <v>272</v>
      </c>
      <c r="L52" s="932"/>
      <c r="M52" s="295" t="s">
        <v>699</v>
      </c>
      <c r="N52" s="435" t="s">
        <v>700</v>
      </c>
      <c r="O52" s="295" t="s">
        <v>349</v>
      </c>
      <c r="Q52" s="248"/>
      <c r="R52" s="293"/>
      <c r="S52" s="247"/>
    </row>
    <row r="53" spans="2:19" x14ac:dyDescent="0.25">
      <c r="B53" s="246"/>
      <c r="C53" s="292"/>
      <c r="D53" s="248"/>
      <c r="E53" s="411" t="s">
        <v>85</v>
      </c>
      <c r="F53" s="412"/>
      <c r="G53" s="959"/>
      <c r="H53" s="961"/>
      <c r="I53" s="1011"/>
      <c r="J53" s="1011"/>
      <c r="K53" s="959"/>
      <c r="L53" s="961"/>
      <c r="M53" s="230"/>
      <c r="N53" s="230"/>
      <c r="O53" s="1008"/>
      <c r="Q53" s="248"/>
      <c r="R53" s="293"/>
      <c r="S53" s="247"/>
    </row>
    <row r="54" spans="2:19" x14ac:dyDescent="0.25">
      <c r="B54" s="246"/>
      <c r="C54" s="292"/>
      <c r="D54" s="248"/>
      <c r="E54" s="411" t="s">
        <v>212</v>
      </c>
      <c r="F54" s="412"/>
      <c r="G54" s="961"/>
      <c r="H54" s="1011"/>
      <c r="I54" s="1011"/>
      <c r="J54" s="1011"/>
      <c r="K54" s="959"/>
      <c r="L54" s="961"/>
      <c r="M54" s="669"/>
      <c r="N54" s="669"/>
      <c r="O54" s="1009"/>
      <c r="Q54" s="248"/>
      <c r="R54" s="293"/>
      <c r="S54" s="247"/>
    </row>
    <row r="55" spans="2:19" x14ac:dyDescent="0.25">
      <c r="B55" s="246"/>
      <c r="C55" s="292"/>
      <c r="D55" s="248"/>
      <c r="E55" s="411" t="s">
        <v>433</v>
      </c>
      <c r="F55" s="412"/>
      <c r="G55" s="959"/>
      <c r="H55" s="961"/>
      <c r="I55" s="1011"/>
      <c r="J55" s="1011"/>
      <c r="K55" s="959"/>
      <c r="L55" s="961"/>
      <c r="M55" s="230"/>
      <c r="N55" s="230"/>
      <c r="O55" s="1009"/>
      <c r="Q55" s="248"/>
      <c r="R55" s="293"/>
      <c r="S55" s="247"/>
    </row>
    <row r="56" spans="2:19" x14ac:dyDescent="0.25">
      <c r="B56" s="246"/>
      <c r="C56" s="292"/>
      <c r="D56" s="248"/>
      <c r="E56" s="411" t="s">
        <v>153</v>
      </c>
      <c r="F56" s="412"/>
      <c r="G56" s="959"/>
      <c r="H56" s="961"/>
      <c r="I56" s="1011"/>
      <c r="J56" s="1011"/>
      <c r="K56" s="959"/>
      <c r="L56" s="961"/>
      <c r="M56" s="230"/>
      <c r="N56" s="230"/>
      <c r="O56" s="1010"/>
      <c r="Q56" s="248"/>
      <c r="R56" s="293"/>
      <c r="S56" s="247"/>
    </row>
    <row r="57" spans="2:19" x14ac:dyDescent="0.25">
      <c r="B57" s="246"/>
      <c r="C57" s="296"/>
      <c r="D57" s="297"/>
      <c r="E57" s="297"/>
      <c r="F57" s="297"/>
      <c r="G57" s="297"/>
      <c r="H57" s="297"/>
      <c r="I57" s="297"/>
      <c r="J57" s="297"/>
      <c r="K57" s="297"/>
      <c r="L57" s="297"/>
      <c r="M57" s="297"/>
      <c r="N57" s="297"/>
      <c r="O57" s="297"/>
      <c r="P57" s="297"/>
      <c r="Q57" s="297"/>
      <c r="R57" s="298"/>
      <c r="S57" s="247"/>
    </row>
    <row r="58" spans="2:19" x14ac:dyDescent="0.25">
      <c r="B58" s="246"/>
      <c r="C58" s="254"/>
      <c r="D58" s="254"/>
      <c r="E58" s="254"/>
      <c r="F58" s="254"/>
      <c r="G58" s="254"/>
      <c r="H58" s="254"/>
      <c r="I58" s="254"/>
      <c r="J58" s="254"/>
      <c r="K58" s="254"/>
      <c r="L58" s="254"/>
      <c r="M58" s="254"/>
      <c r="N58" s="254"/>
      <c r="O58" s="254"/>
      <c r="P58" s="254"/>
      <c r="Q58" s="254"/>
      <c r="R58" s="254"/>
      <c r="S58" s="247"/>
    </row>
    <row r="59" spans="2:19" x14ac:dyDescent="0.25">
      <c r="B59" s="246"/>
      <c r="C59" s="248"/>
      <c r="D59" s="248"/>
      <c r="E59" s="248"/>
      <c r="F59" s="248"/>
      <c r="G59" s="248"/>
      <c r="H59" s="248"/>
      <c r="I59" s="248"/>
      <c r="J59" s="248"/>
      <c r="K59" s="248"/>
      <c r="L59" s="248"/>
      <c r="M59" s="248"/>
      <c r="N59" s="248"/>
      <c r="O59" s="248"/>
      <c r="P59" s="248"/>
      <c r="Q59" s="248"/>
      <c r="R59" s="248"/>
      <c r="S59" s="247"/>
    </row>
    <row r="60" spans="2:19" x14ac:dyDescent="0.25">
      <c r="B60" s="246"/>
      <c r="C60" s="289"/>
      <c r="D60" s="290"/>
      <c r="E60" s="290"/>
      <c r="F60" s="290"/>
      <c r="G60" s="290"/>
      <c r="H60" s="290"/>
      <c r="I60" s="290"/>
      <c r="J60" s="290"/>
      <c r="K60" s="290"/>
      <c r="L60" s="290"/>
      <c r="M60" s="290"/>
      <c r="N60" s="290"/>
      <c r="O60" s="290"/>
      <c r="P60" s="290"/>
      <c r="Q60" s="290"/>
      <c r="R60" s="291"/>
      <c r="S60" s="247"/>
    </row>
    <row r="61" spans="2:19" ht="18.75" x14ac:dyDescent="0.25">
      <c r="B61" s="246"/>
      <c r="C61" s="292"/>
      <c r="D61" s="248"/>
      <c r="E61" s="936" t="s">
        <v>592</v>
      </c>
      <c r="F61" s="937"/>
      <c r="G61" s="937"/>
      <c r="H61" s="937"/>
      <c r="I61" s="937"/>
      <c r="J61" s="937"/>
      <c r="K61" s="937"/>
      <c r="L61" s="937"/>
      <c r="M61" s="937"/>
      <c r="N61" s="937"/>
      <c r="O61" s="937"/>
      <c r="P61" s="938"/>
      <c r="Q61" s="299"/>
      <c r="R61" s="293"/>
      <c r="S61" s="247"/>
    </row>
    <row r="62" spans="2:19" x14ac:dyDescent="0.25">
      <c r="B62" s="246"/>
      <c r="C62" s="292"/>
      <c r="D62" s="248"/>
      <c r="E62" s="248"/>
      <c r="F62" s="248"/>
      <c r="G62" s="248"/>
      <c r="H62" s="248"/>
      <c r="I62" s="248"/>
      <c r="J62" s="248"/>
      <c r="K62" s="248"/>
      <c r="L62" s="248"/>
      <c r="M62" s="248"/>
      <c r="N62" s="248"/>
      <c r="O62" s="248"/>
      <c r="P62" s="248"/>
      <c r="Q62" s="248"/>
      <c r="R62" s="293"/>
      <c r="S62" s="247"/>
    </row>
    <row r="63" spans="2:19" x14ac:dyDescent="0.25">
      <c r="B63" s="246"/>
      <c r="C63" s="292"/>
      <c r="D63" s="248"/>
      <c r="E63" s="934" t="s">
        <v>596</v>
      </c>
      <c r="F63" s="934"/>
      <c r="G63" s="934"/>
      <c r="H63" s="934"/>
      <c r="I63" s="934"/>
      <c r="J63" s="934"/>
      <c r="K63" s="934"/>
      <c r="L63" s="934"/>
      <c r="M63" s="934"/>
      <c r="N63" s="934"/>
      <c r="O63" s="934"/>
      <c r="P63" s="934"/>
      <c r="Q63" s="248"/>
      <c r="R63" s="293"/>
      <c r="S63" s="247"/>
    </row>
    <row r="64" spans="2:19" x14ac:dyDescent="0.25">
      <c r="B64" s="246"/>
      <c r="C64" s="292"/>
      <c r="D64" s="248"/>
      <c r="E64" s="248"/>
      <c r="F64" s="248"/>
      <c r="G64" s="248"/>
      <c r="H64" s="248"/>
      <c r="I64" s="248"/>
      <c r="J64" s="248"/>
      <c r="K64" s="248"/>
      <c r="L64" s="248"/>
      <c r="M64" s="248"/>
      <c r="N64" s="248"/>
      <c r="O64" s="248"/>
      <c r="P64" s="248"/>
      <c r="Q64" s="248"/>
      <c r="R64" s="293"/>
      <c r="S64" s="247"/>
    </row>
    <row r="65" spans="2:19" ht="45" customHeight="1" x14ac:dyDescent="0.25">
      <c r="B65" s="246"/>
      <c r="C65" s="292"/>
      <c r="D65" s="248"/>
      <c r="E65" s="248"/>
      <c r="F65" s="925" t="s">
        <v>83</v>
      </c>
      <c r="G65" s="926"/>
      <c r="H65" s="927"/>
      <c r="I65" s="987" t="s">
        <v>275</v>
      </c>
      <c r="J65" s="988"/>
      <c r="K65" s="987" t="s">
        <v>281</v>
      </c>
      <c r="L65" s="988"/>
      <c r="M65" s="295" t="s">
        <v>125</v>
      </c>
      <c r="N65" s="295" t="s">
        <v>424</v>
      </c>
      <c r="O65" s="295" t="s">
        <v>137</v>
      </c>
      <c r="P65" s="248"/>
      <c r="Q65" s="248"/>
      <c r="R65" s="293"/>
      <c r="S65" s="247"/>
    </row>
    <row r="66" spans="2:19" ht="19.5" customHeight="1" x14ac:dyDescent="0.25">
      <c r="B66" s="246"/>
      <c r="C66" s="292"/>
      <c r="D66" s="248"/>
      <c r="E66" s="248"/>
      <c r="F66" s="970" t="s">
        <v>85</v>
      </c>
      <c r="G66" s="971"/>
      <c r="H66" s="972"/>
      <c r="I66" s="976"/>
      <c r="J66" s="977"/>
      <c r="K66" s="978">
        <f>+IF('Datos Generales'!K11="Moneda local",Referencias!C95,Referencias!C94)</f>
        <v>7290.2503836494298</v>
      </c>
      <c r="L66" s="979"/>
      <c r="M66" s="300"/>
      <c r="N66" s="300"/>
      <c r="O66" s="300"/>
      <c r="P66" s="248"/>
      <c r="Q66" s="248"/>
      <c r="R66" s="293"/>
      <c r="S66" s="247"/>
    </row>
    <row r="67" spans="2:19" ht="19.5" customHeight="1" x14ac:dyDescent="0.25">
      <c r="B67" s="246"/>
      <c r="C67" s="292"/>
      <c r="D67" s="248"/>
      <c r="E67" s="248"/>
      <c r="F67" s="970" t="s">
        <v>212</v>
      </c>
      <c r="G67" s="971"/>
      <c r="H67" s="972"/>
      <c r="I67" s="976"/>
      <c r="J67" s="977"/>
      <c r="K67" s="978">
        <f>+IF('Datos Generales'!K11="Moneda local",Referencias!D95,Referencias!D94)</f>
        <v>29161.001534597701</v>
      </c>
      <c r="L67" s="979"/>
      <c r="M67" s="300"/>
      <c r="N67" s="300"/>
      <c r="O67" s="300"/>
      <c r="P67" s="248"/>
      <c r="Q67" s="248"/>
      <c r="R67" s="293"/>
      <c r="S67" s="247"/>
    </row>
    <row r="68" spans="2:19" ht="19.5" customHeight="1" x14ac:dyDescent="0.25">
      <c r="B68" s="246"/>
      <c r="C68" s="292"/>
      <c r="D68" s="248"/>
      <c r="E68" s="248"/>
      <c r="F68" s="970" t="s">
        <v>433</v>
      </c>
      <c r="G68" s="971"/>
      <c r="H68" s="972"/>
      <c r="I68" s="976"/>
      <c r="J68" s="977"/>
      <c r="K68" s="978">
        <f>+IF('Datos Generales'!K11="Moneda local",Referencias!E95,Referencias!E94)</f>
        <v>364.51251918247101</v>
      </c>
      <c r="L68" s="979"/>
      <c r="M68" s="300"/>
      <c r="N68" s="300"/>
      <c r="O68" s="300"/>
      <c r="P68" s="248"/>
      <c r="Q68" s="248"/>
      <c r="R68" s="293"/>
      <c r="S68" s="247"/>
    </row>
    <row r="69" spans="2:19" ht="19.5" customHeight="1" x14ac:dyDescent="0.25">
      <c r="B69" s="246"/>
      <c r="C69" s="292"/>
      <c r="D69" s="248"/>
      <c r="E69" s="248"/>
      <c r="F69" s="970" t="s">
        <v>153</v>
      </c>
      <c r="G69" s="971"/>
      <c r="H69" s="972"/>
      <c r="I69" s="976"/>
      <c r="J69" s="977"/>
      <c r="K69" s="978">
        <f>+IF('Datos Generales'!K11="Moneda local",Referencias!G95,Referencias!G94)</f>
        <v>320</v>
      </c>
      <c r="L69" s="979"/>
      <c r="M69" s="300"/>
      <c r="N69" s="300"/>
      <c r="O69" s="300"/>
      <c r="P69" s="248"/>
      <c r="Q69" s="248"/>
      <c r="R69" s="293"/>
      <c r="S69" s="247"/>
    </row>
    <row r="70" spans="2:19" x14ac:dyDescent="0.25">
      <c r="B70" s="246"/>
      <c r="C70" s="292"/>
      <c r="D70" s="248"/>
      <c r="E70" s="248"/>
      <c r="F70" s="248"/>
      <c r="G70" s="248"/>
      <c r="H70" s="248"/>
      <c r="I70" s="248"/>
      <c r="J70" s="248"/>
      <c r="K70" s="248"/>
      <c r="L70" s="248"/>
      <c r="M70" s="248"/>
      <c r="N70" s="248"/>
      <c r="O70" s="248"/>
      <c r="P70" s="248"/>
      <c r="Q70" s="248"/>
      <c r="R70" s="293"/>
      <c r="S70" s="247"/>
    </row>
    <row r="71" spans="2:19" x14ac:dyDescent="0.25">
      <c r="B71" s="246"/>
      <c r="C71" s="296"/>
      <c r="D71" s="297"/>
      <c r="E71" s="297"/>
      <c r="F71" s="297"/>
      <c r="G71" s="297"/>
      <c r="H71" s="297"/>
      <c r="I71" s="297"/>
      <c r="J71" s="297"/>
      <c r="K71" s="297"/>
      <c r="L71" s="297"/>
      <c r="M71" s="297"/>
      <c r="N71" s="297"/>
      <c r="O71" s="297"/>
      <c r="P71" s="297"/>
      <c r="Q71" s="297"/>
      <c r="R71" s="298"/>
      <c r="S71" s="247"/>
    </row>
    <row r="72" spans="2:19" ht="9" customHeight="1" x14ac:dyDescent="0.25">
      <c r="B72" s="246"/>
      <c r="C72" s="248"/>
      <c r="D72" s="248"/>
      <c r="E72" s="248"/>
      <c r="F72" s="248"/>
      <c r="G72" s="248"/>
      <c r="H72" s="248"/>
      <c r="I72" s="248"/>
      <c r="J72" s="248"/>
      <c r="K72" s="248"/>
      <c r="L72" s="248"/>
      <c r="M72" s="248"/>
      <c r="N72" s="248"/>
      <c r="O72" s="248"/>
      <c r="P72" s="248"/>
      <c r="Q72" s="248"/>
      <c r="R72" s="248"/>
      <c r="S72" s="247"/>
    </row>
    <row r="73" spans="2:19" ht="9" customHeight="1" x14ac:dyDescent="0.25">
      <c r="B73" s="246"/>
      <c r="C73" s="248"/>
      <c r="D73" s="248"/>
      <c r="E73" s="248"/>
      <c r="F73" s="248"/>
      <c r="G73" s="248"/>
      <c r="H73" s="248"/>
      <c r="I73" s="248"/>
      <c r="J73" s="248"/>
      <c r="K73" s="248"/>
      <c r="L73" s="248"/>
      <c r="M73" s="248"/>
      <c r="N73" s="248"/>
      <c r="O73" s="248"/>
      <c r="P73" s="248"/>
      <c r="Q73" s="248"/>
      <c r="R73" s="248"/>
      <c r="S73" s="247"/>
    </row>
    <row r="74" spans="2:19" ht="9" customHeight="1" x14ac:dyDescent="0.25">
      <c r="B74" s="246"/>
      <c r="C74" s="248"/>
      <c r="D74" s="248"/>
      <c r="E74" s="248"/>
      <c r="F74" s="248"/>
      <c r="G74" s="248"/>
      <c r="H74" s="248"/>
      <c r="I74" s="248"/>
      <c r="J74" s="248"/>
      <c r="K74" s="248"/>
      <c r="L74" s="248"/>
      <c r="M74" s="248"/>
      <c r="N74" s="248"/>
      <c r="O74" s="248"/>
      <c r="P74" s="248"/>
      <c r="Q74" s="248"/>
      <c r="R74" s="248"/>
      <c r="S74" s="247"/>
    </row>
    <row r="75" spans="2:19" ht="20.25" customHeight="1" x14ac:dyDescent="0.25">
      <c r="B75" s="246"/>
      <c r="C75" s="289"/>
      <c r="D75" s="290"/>
      <c r="E75" s="290"/>
      <c r="F75" s="290"/>
      <c r="G75" s="290"/>
      <c r="H75" s="290"/>
      <c r="I75" s="290"/>
      <c r="J75" s="290"/>
      <c r="K75" s="290"/>
      <c r="L75" s="290"/>
      <c r="M75" s="290"/>
      <c r="N75" s="290"/>
      <c r="O75" s="290"/>
      <c r="P75" s="290"/>
      <c r="Q75" s="290"/>
      <c r="R75" s="291"/>
      <c r="S75" s="247"/>
    </row>
    <row r="76" spans="2:19" ht="18.75" x14ac:dyDescent="0.25">
      <c r="B76" s="246"/>
      <c r="C76" s="292"/>
      <c r="D76" s="248"/>
      <c r="E76" s="936" t="s">
        <v>297</v>
      </c>
      <c r="F76" s="937"/>
      <c r="G76" s="937"/>
      <c r="H76" s="937"/>
      <c r="I76" s="937"/>
      <c r="J76" s="937"/>
      <c r="K76" s="937"/>
      <c r="L76" s="937"/>
      <c r="M76" s="937"/>
      <c r="N76" s="937"/>
      <c r="O76" s="937"/>
      <c r="P76" s="938"/>
      <c r="Q76" s="299"/>
      <c r="R76" s="293"/>
      <c r="S76" s="247"/>
    </row>
    <row r="77" spans="2:19" x14ac:dyDescent="0.25">
      <c r="B77" s="246"/>
      <c r="C77" s="292"/>
      <c r="D77" s="248"/>
      <c r="E77" s="248"/>
      <c r="F77" s="248"/>
      <c r="G77" s="248"/>
      <c r="H77" s="248"/>
      <c r="I77" s="248"/>
      <c r="J77" s="248"/>
      <c r="K77" s="248"/>
      <c r="L77" s="248"/>
      <c r="M77" s="248"/>
      <c r="N77" s="248"/>
      <c r="O77" s="248"/>
      <c r="P77" s="248"/>
      <c r="Q77" s="248"/>
      <c r="R77" s="293"/>
      <c r="S77" s="247"/>
    </row>
    <row r="78" spans="2:19" x14ac:dyDescent="0.25">
      <c r="B78" s="246"/>
      <c r="C78" s="292"/>
      <c r="D78" s="248"/>
      <c r="E78" s="969" t="str">
        <f>+CONCATENATE("Información Laboral General del ",G24)</f>
        <v>Información Laboral General del Vehículo motorizado mediano</v>
      </c>
      <c r="F78" s="969"/>
      <c r="G78" s="969"/>
      <c r="H78" s="969"/>
      <c r="I78" s="969"/>
      <c r="J78" s="248"/>
      <c r="K78" s="248"/>
      <c r="L78" s="248"/>
      <c r="M78" s="969" t="s">
        <v>681</v>
      </c>
      <c r="N78" s="969"/>
      <c r="O78" s="969"/>
      <c r="P78" s="969"/>
      <c r="Q78" s="248"/>
      <c r="R78" s="293"/>
      <c r="S78" s="247"/>
    </row>
    <row r="79" spans="2:19" x14ac:dyDescent="0.25">
      <c r="B79" s="246"/>
      <c r="C79" s="292"/>
      <c r="D79" s="248"/>
      <c r="E79" s="271"/>
      <c r="F79" s="271"/>
      <c r="G79" s="271"/>
      <c r="H79" s="271"/>
      <c r="I79" s="271"/>
      <c r="J79" s="248"/>
      <c r="K79" s="248"/>
      <c r="L79" s="248"/>
      <c r="M79" s="271"/>
      <c r="N79" s="271"/>
      <c r="O79" s="271"/>
      <c r="P79" s="271"/>
      <c r="Q79" s="248"/>
      <c r="R79" s="293"/>
      <c r="S79" s="247"/>
    </row>
    <row r="80" spans="2:19" x14ac:dyDescent="0.25">
      <c r="B80" s="246"/>
      <c r="C80" s="292"/>
      <c r="D80" s="248"/>
      <c r="E80" s="254" t="s">
        <v>98</v>
      </c>
      <c r="F80" s="271"/>
      <c r="G80" s="227"/>
      <c r="H80" s="940">
        <f>+Referencias!C104</f>
        <v>26</v>
      </c>
      <c r="I80" s="941"/>
      <c r="J80" s="248"/>
      <c r="K80" s="248"/>
      <c r="L80" s="248"/>
      <c r="M80" s="254" t="s">
        <v>98</v>
      </c>
      <c r="N80" s="271"/>
      <c r="O80" s="231"/>
      <c r="P80" s="351">
        <f>+H80</f>
        <v>26</v>
      </c>
      <c r="Q80" s="248"/>
      <c r="R80" s="293"/>
      <c r="S80" s="247"/>
    </row>
    <row r="81" spans="2:19" x14ac:dyDescent="0.25">
      <c r="B81" s="246"/>
      <c r="C81" s="292"/>
      <c r="D81" s="248"/>
      <c r="E81" s="254" t="s">
        <v>99</v>
      </c>
      <c r="F81" s="271"/>
      <c r="G81" s="227"/>
      <c r="H81" s="940">
        <f>+IF('Datos Generales'!E36&gt;374400,3,2)</f>
        <v>2</v>
      </c>
      <c r="I81" s="941"/>
      <c r="J81" s="248"/>
      <c r="K81" s="248"/>
      <c r="L81" s="248"/>
      <c r="M81" s="254" t="s">
        <v>99</v>
      </c>
      <c r="N81" s="271"/>
      <c r="O81" s="231"/>
      <c r="P81" s="351">
        <f>+H81</f>
        <v>2</v>
      </c>
      <c r="Q81" s="248"/>
      <c r="R81" s="293"/>
      <c r="S81" s="247"/>
    </row>
    <row r="82" spans="2:19" x14ac:dyDescent="0.25">
      <c r="B82" s="246"/>
      <c r="C82" s="292"/>
      <c r="D82" s="248"/>
      <c r="E82" s="254" t="s">
        <v>100</v>
      </c>
      <c r="F82" s="271"/>
      <c r="G82" s="227"/>
      <c r="H82" s="940">
        <f>+Referencias!C106</f>
        <v>8</v>
      </c>
      <c r="I82" s="941"/>
      <c r="J82" s="248"/>
      <c r="K82" s="248"/>
      <c r="L82" s="248"/>
      <c r="M82" s="254" t="s">
        <v>100</v>
      </c>
      <c r="N82" s="271"/>
      <c r="O82" s="231"/>
      <c r="P82" s="351">
        <f>+H82</f>
        <v>8</v>
      </c>
      <c r="Q82" s="248"/>
      <c r="R82" s="293"/>
      <c r="S82" s="247"/>
    </row>
    <row r="83" spans="2:19" x14ac:dyDescent="0.25">
      <c r="B83" s="246"/>
      <c r="C83" s="292"/>
      <c r="D83" s="248"/>
      <c r="E83" s="301" t="s">
        <v>101</v>
      </c>
      <c r="F83" s="271"/>
      <c r="G83" s="227"/>
      <c r="H83" s="940">
        <f>+Referencias!C107</f>
        <v>1</v>
      </c>
      <c r="I83" s="941"/>
      <c r="J83" s="248"/>
      <c r="K83" s="248"/>
      <c r="L83" s="248"/>
      <c r="M83" s="1006" t="s">
        <v>101</v>
      </c>
      <c r="N83" s="1007"/>
      <c r="O83" s="231"/>
      <c r="P83" s="351">
        <f>+H83</f>
        <v>1</v>
      </c>
      <c r="Q83" s="248"/>
      <c r="R83" s="293"/>
      <c r="S83" s="247"/>
    </row>
    <row r="84" spans="2:19" x14ac:dyDescent="0.25">
      <c r="B84" s="246"/>
      <c r="C84" s="292"/>
      <c r="D84" s="248"/>
      <c r="E84" s="301"/>
      <c r="F84" s="271"/>
      <c r="G84" s="248"/>
      <c r="H84" s="302"/>
      <c r="I84" s="302"/>
      <c r="J84" s="248"/>
      <c r="K84" s="248"/>
      <c r="L84" s="248"/>
      <c r="M84" s="248"/>
      <c r="N84" s="248"/>
      <c r="O84" s="248"/>
      <c r="P84" s="248"/>
      <c r="Q84" s="248"/>
      <c r="R84" s="293"/>
      <c r="S84" s="247"/>
    </row>
    <row r="85" spans="2:19" x14ac:dyDescent="0.25">
      <c r="B85" s="246"/>
      <c r="C85" s="292"/>
      <c r="D85" s="248"/>
      <c r="E85" s="303" t="s">
        <v>436</v>
      </c>
      <c r="F85" s="248"/>
      <c r="G85" s="248"/>
      <c r="H85" s="248"/>
      <c r="I85" s="248"/>
      <c r="J85" s="248"/>
      <c r="K85" s="248"/>
      <c r="L85" s="248"/>
      <c r="M85" s="248"/>
      <c r="N85" s="248"/>
      <c r="O85" s="248"/>
      <c r="P85" s="248"/>
      <c r="Q85" s="248"/>
      <c r="R85" s="293"/>
      <c r="S85" s="247"/>
    </row>
    <row r="86" spans="2:19" x14ac:dyDescent="0.25">
      <c r="B86" s="246"/>
      <c r="C86" s="292"/>
      <c r="D86" s="248"/>
      <c r="E86" s="248"/>
      <c r="F86" s="248"/>
      <c r="G86" s="248"/>
      <c r="H86" s="248"/>
      <c r="I86" s="248"/>
      <c r="J86" s="248"/>
      <c r="K86" s="248"/>
      <c r="L86" s="248"/>
      <c r="M86" s="248"/>
      <c r="N86" s="248"/>
      <c r="O86" s="248"/>
      <c r="P86" s="248"/>
      <c r="Q86" s="248"/>
      <c r="R86" s="293"/>
      <c r="S86" s="247"/>
    </row>
    <row r="87" spans="2:19" ht="45.75" customHeight="1" x14ac:dyDescent="0.25">
      <c r="B87" s="246"/>
      <c r="C87" s="292"/>
      <c r="D87" s="248"/>
      <c r="E87" s="980" t="s">
        <v>136</v>
      </c>
      <c r="F87" s="981"/>
      <c r="G87" s="981"/>
      <c r="H87" s="981"/>
      <c r="I87" s="982"/>
      <c r="J87" s="931" t="s">
        <v>458</v>
      </c>
      <c r="K87" s="962"/>
      <c r="L87" s="932"/>
      <c r="M87" s="304" t="s">
        <v>141</v>
      </c>
      <c r="N87" s="295" t="s">
        <v>134</v>
      </c>
      <c r="O87" s="295" t="s">
        <v>159</v>
      </c>
      <c r="P87" s="248"/>
      <c r="Q87" s="248"/>
      <c r="R87" s="293"/>
      <c r="S87" s="247"/>
    </row>
    <row r="88" spans="2:19" x14ac:dyDescent="0.25">
      <c r="B88" s="246"/>
      <c r="C88" s="292"/>
      <c r="D88" s="248"/>
      <c r="E88" s="966" t="s">
        <v>128</v>
      </c>
      <c r="F88" s="967"/>
      <c r="G88" s="967"/>
      <c r="H88" s="967"/>
      <c r="I88" s="968"/>
      <c r="J88" s="973"/>
      <c r="K88" s="974"/>
      <c r="L88" s="975"/>
      <c r="M88" s="430"/>
      <c r="N88" s="430"/>
      <c r="O88" s="431"/>
      <c r="P88" s="248"/>
      <c r="Q88" s="248"/>
      <c r="R88" s="293"/>
      <c r="S88" s="247"/>
    </row>
    <row r="89" spans="2:19" x14ac:dyDescent="0.25">
      <c r="B89" s="246"/>
      <c r="C89" s="292"/>
      <c r="D89" s="248"/>
      <c r="E89" s="966" t="s">
        <v>129</v>
      </c>
      <c r="F89" s="967"/>
      <c r="G89" s="967"/>
      <c r="H89" s="967"/>
      <c r="I89" s="968"/>
      <c r="J89" s="973"/>
      <c r="K89" s="974"/>
      <c r="L89" s="975"/>
      <c r="M89" s="430"/>
      <c r="N89" s="430"/>
      <c r="O89" s="431"/>
      <c r="P89" s="248"/>
      <c r="Q89" s="248"/>
      <c r="R89" s="293"/>
      <c r="S89" s="247"/>
    </row>
    <row r="90" spans="2:19" x14ac:dyDescent="0.25">
      <c r="B90" s="246"/>
      <c r="C90" s="292"/>
      <c r="D90" s="248"/>
      <c r="E90" s="966" t="s">
        <v>130</v>
      </c>
      <c r="F90" s="967"/>
      <c r="G90" s="967"/>
      <c r="H90" s="967"/>
      <c r="I90" s="968"/>
      <c r="J90" s="949"/>
      <c r="K90" s="950"/>
      <c r="L90" s="951"/>
      <c r="M90" s="670"/>
      <c r="N90" s="671"/>
      <c r="O90" s="232"/>
      <c r="P90" s="248"/>
      <c r="Q90" s="248"/>
      <c r="R90" s="293"/>
      <c r="S90" s="247"/>
    </row>
    <row r="91" spans="2:19" x14ac:dyDescent="0.25">
      <c r="B91" s="246"/>
      <c r="C91" s="292"/>
      <c r="D91" s="248"/>
      <c r="E91" s="966" t="s">
        <v>131</v>
      </c>
      <c r="F91" s="967"/>
      <c r="G91" s="967"/>
      <c r="H91" s="967"/>
      <c r="I91" s="968"/>
      <c r="J91" s="949"/>
      <c r="K91" s="950"/>
      <c r="L91" s="951"/>
      <c r="M91" s="670"/>
      <c r="N91" s="671"/>
      <c r="O91" s="232"/>
      <c r="P91" s="248"/>
      <c r="Q91" s="248"/>
      <c r="R91" s="293"/>
      <c r="S91" s="247"/>
    </row>
    <row r="92" spans="2:19" x14ac:dyDescent="0.25">
      <c r="B92" s="246"/>
      <c r="C92" s="292"/>
      <c r="D92" s="248"/>
      <c r="E92" s="966" t="s">
        <v>132</v>
      </c>
      <c r="F92" s="967"/>
      <c r="G92" s="967"/>
      <c r="H92" s="967"/>
      <c r="I92" s="968"/>
      <c r="J92" s="949"/>
      <c r="K92" s="950"/>
      <c r="L92" s="951"/>
      <c r="M92" s="670"/>
      <c r="N92" s="671"/>
      <c r="O92" s="232"/>
      <c r="P92" s="248"/>
      <c r="Q92" s="248"/>
      <c r="R92" s="293"/>
      <c r="S92" s="247"/>
    </row>
    <row r="93" spans="2:19" x14ac:dyDescent="0.25">
      <c r="B93" s="246"/>
      <c r="C93" s="292"/>
      <c r="D93" s="248"/>
      <c r="E93" s="966" t="s">
        <v>133</v>
      </c>
      <c r="F93" s="967"/>
      <c r="G93" s="967"/>
      <c r="H93" s="967"/>
      <c r="I93" s="968"/>
      <c r="J93" s="949"/>
      <c r="K93" s="950"/>
      <c r="L93" s="951"/>
      <c r="M93" s="670"/>
      <c r="N93" s="671"/>
      <c r="O93" s="232"/>
      <c r="P93" s="248"/>
      <c r="Q93" s="248"/>
      <c r="R93" s="293"/>
      <c r="S93" s="247"/>
    </row>
    <row r="94" spans="2:19" ht="15" customHeight="1" x14ac:dyDescent="0.25">
      <c r="B94" s="246"/>
      <c r="C94" s="292"/>
      <c r="D94" s="248"/>
      <c r="E94" s="966" t="s">
        <v>135</v>
      </c>
      <c r="F94" s="967"/>
      <c r="G94" s="967"/>
      <c r="H94" s="967"/>
      <c r="I94" s="968"/>
      <c r="J94" s="963"/>
      <c r="K94" s="964"/>
      <c r="L94" s="965"/>
      <c r="M94" s="423"/>
      <c r="N94" s="432"/>
      <c r="O94" s="432"/>
      <c r="P94" s="248"/>
      <c r="Q94" s="248"/>
      <c r="R94" s="293"/>
      <c r="S94" s="247"/>
    </row>
    <row r="95" spans="2:19" x14ac:dyDescent="0.25">
      <c r="B95" s="246"/>
      <c r="C95" s="292"/>
      <c r="D95" s="248"/>
      <c r="E95" s="248"/>
      <c r="F95" s="248"/>
      <c r="G95" s="248"/>
      <c r="H95" s="248"/>
      <c r="I95" s="248"/>
      <c r="J95" s="248"/>
      <c r="K95" s="248"/>
      <c r="L95" s="248"/>
      <c r="M95" s="248"/>
      <c r="N95" s="248"/>
      <c r="O95" s="248"/>
      <c r="P95" s="248"/>
      <c r="Q95" s="248"/>
      <c r="R95" s="293"/>
      <c r="S95" s="247"/>
    </row>
    <row r="96" spans="2:19" x14ac:dyDescent="0.25">
      <c r="B96" s="246"/>
      <c r="C96" s="292"/>
      <c r="D96" s="248"/>
      <c r="E96" s="934" t="s">
        <v>503</v>
      </c>
      <c r="F96" s="934"/>
      <c r="G96" s="934"/>
      <c r="H96" s="934"/>
      <c r="I96" s="934"/>
      <c r="J96" s="934"/>
      <c r="K96" s="934"/>
      <c r="L96" s="934"/>
      <c r="M96" s="934"/>
      <c r="N96" s="934"/>
      <c r="O96" s="934"/>
      <c r="P96" s="934"/>
      <c r="Q96" s="248"/>
      <c r="R96" s="293"/>
      <c r="S96" s="247"/>
    </row>
    <row r="97" spans="1:80" x14ac:dyDescent="0.25">
      <c r="B97" s="246"/>
      <c r="C97" s="292"/>
      <c r="D97" s="248"/>
      <c r="E97" s="248"/>
      <c r="F97" s="248"/>
      <c r="G97" s="248"/>
      <c r="H97" s="248"/>
      <c r="I97" s="248"/>
      <c r="J97" s="248"/>
      <c r="K97" s="248"/>
      <c r="L97" s="248"/>
      <c r="M97" s="248"/>
      <c r="N97" s="248"/>
      <c r="O97" s="248"/>
      <c r="P97" s="248"/>
      <c r="Q97" s="248"/>
      <c r="R97" s="293"/>
      <c r="S97" s="247"/>
    </row>
    <row r="98" spans="1:80" ht="43.5" customHeight="1" x14ac:dyDescent="0.25">
      <c r="B98" s="246"/>
      <c r="C98" s="292"/>
      <c r="D98" s="248"/>
      <c r="E98" s="248"/>
      <c r="F98" s="931" t="s">
        <v>466</v>
      </c>
      <c r="G98" s="962"/>
      <c r="H98" s="962"/>
      <c r="I98" s="932"/>
      <c r="J98" s="955" t="s">
        <v>125</v>
      </c>
      <c r="K98" s="956"/>
      <c r="L98" s="957"/>
      <c r="M98" s="295" t="s">
        <v>424</v>
      </c>
      <c r="N98" s="295" t="s">
        <v>137</v>
      </c>
      <c r="O98" s="305"/>
      <c r="P98" s="248"/>
      <c r="Q98" s="248"/>
      <c r="R98" s="293"/>
      <c r="S98" s="247"/>
    </row>
    <row r="99" spans="1:80" s="313" customFormat="1" ht="30" customHeight="1" x14ac:dyDescent="0.25">
      <c r="A99" s="306"/>
      <c r="B99" s="307"/>
      <c r="C99" s="308"/>
      <c r="D99" s="309"/>
      <c r="E99" s="309"/>
      <c r="F99" s="413" t="s">
        <v>455</v>
      </c>
      <c r="G99" s="414"/>
      <c r="H99" s="414"/>
      <c r="I99" s="414"/>
      <c r="J99" s="1038"/>
      <c r="K99" s="1038"/>
      <c r="L99" s="1038"/>
      <c r="M99" s="310"/>
      <c r="N99" s="310"/>
      <c r="O99" s="309"/>
      <c r="P99" s="309"/>
      <c r="Q99" s="309"/>
      <c r="R99" s="311"/>
      <c r="S99" s="312"/>
      <c r="T99" s="306"/>
      <c r="U99" s="306"/>
      <c r="V99" s="306"/>
      <c r="W99" s="306"/>
      <c r="X99" s="306"/>
      <c r="Y99" s="306"/>
      <c r="Z99" s="306"/>
      <c r="AA99" s="306"/>
      <c r="AB99" s="306"/>
      <c r="AC99" s="306"/>
      <c r="AD99" s="306"/>
      <c r="AE99" s="306"/>
      <c r="AF99" s="306"/>
      <c r="AG99" s="306"/>
      <c r="AH99" s="306"/>
      <c r="AI99" s="306"/>
      <c r="AJ99" s="306"/>
      <c r="AK99" s="306"/>
      <c r="AL99" s="306"/>
      <c r="AM99" s="306"/>
      <c r="AN99" s="306"/>
      <c r="AO99" s="306"/>
      <c r="AP99" s="306"/>
      <c r="AQ99" s="306"/>
      <c r="AR99" s="306"/>
      <c r="AS99" s="306"/>
      <c r="AT99" s="306"/>
      <c r="AU99" s="306"/>
      <c r="AV99" s="306"/>
      <c r="AW99" s="306"/>
      <c r="AX99" s="306"/>
      <c r="AY99" s="306"/>
      <c r="AZ99" s="306"/>
      <c r="BA99" s="306"/>
      <c r="BB99" s="306"/>
      <c r="BC99" s="306"/>
      <c r="BD99" s="306"/>
      <c r="BE99" s="306"/>
      <c r="BF99" s="306"/>
      <c r="BG99" s="306"/>
      <c r="BH99" s="306"/>
      <c r="BI99" s="306"/>
      <c r="BJ99" s="306"/>
      <c r="BK99" s="306"/>
      <c r="BL99" s="306"/>
      <c r="BM99" s="306"/>
      <c r="BN99" s="306"/>
      <c r="BO99" s="306"/>
      <c r="BP99" s="306"/>
      <c r="BQ99" s="306"/>
      <c r="BR99" s="306"/>
      <c r="BS99" s="306"/>
      <c r="BT99" s="306"/>
      <c r="BU99" s="306"/>
      <c r="BV99" s="306"/>
      <c r="BW99" s="306"/>
      <c r="BX99" s="306"/>
      <c r="BY99" s="306"/>
      <c r="BZ99" s="306"/>
      <c r="CA99" s="306"/>
      <c r="CB99" s="306"/>
    </row>
    <row r="100" spans="1:80" s="313" customFormat="1" ht="30" customHeight="1" x14ac:dyDescent="0.25">
      <c r="A100" s="306"/>
      <c r="B100" s="307"/>
      <c r="C100" s="308"/>
      <c r="D100" s="309"/>
      <c r="E100" s="309"/>
      <c r="F100" s="413" t="s">
        <v>140</v>
      </c>
      <c r="G100" s="414"/>
      <c r="H100" s="414"/>
      <c r="I100" s="414"/>
      <c r="J100" s="1038"/>
      <c r="K100" s="1038"/>
      <c r="L100" s="1038"/>
      <c r="M100" s="310"/>
      <c r="N100" s="310"/>
      <c r="O100" s="309"/>
      <c r="P100" s="309"/>
      <c r="Q100" s="309"/>
      <c r="R100" s="311"/>
      <c r="S100" s="312"/>
      <c r="T100" s="306"/>
      <c r="U100" s="306"/>
      <c r="V100" s="306"/>
      <c r="W100" s="306"/>
      <c r="X100" s="306"/>
      <c r="Y100" s="306"/>
      <c r="Z100" s="306"/>
      <c r="AA100" s="306"/>
      <c r="AB100" s="306"/>
      <c r="AC100" s="306"/>
      <c r="AD100" s="306"/>
      <c r="AE100" s="306"/>
      <c r="AF100" s="306"/>
      <c r="AG100" s="306"/>
      <c r="AH100" s="306"/>
      <c r="AI100" s="306"/>
      <c r="AJ100" s="306"/>
      <c r="AK100" s="306"/>
      <c r="AL100" s="306"/>
      <c r="AM100" s="306"/>
      <c r="AN100" s="306"/>
      <c r="AO100" s="306"/>
      <c r="AP100" s="306"/>
      <c r="AQ100" s="306"/>
      <c r="AR100" s="306"/>
      <c r="AS100" s="306"/>
      <c r="AT100" s="306"/>
      <c r="AU100" s="306"/>
      <c r="AV100" s="306"/>
      <c r="AW100" s="306"/>
      <c r="AX100" s="306"/>
      <c r="AY100" s="306"/>
      <c r="AZ100" s="306"/>
      <c r="BA100" s="306"/>
      <c r="BB100" s="306"/>
      <c r="BC100" s="306"/>
      <c r="BD100" s="306"/>
      <c r="BE100" s="306"/>
      <c r="BF100" s="306"/>
      <c r="BG100" s="306"/>
      <c r="BH100" s="306"/>
      <c r="BI100" s="306"/>
      <c r="BJ100" s="306"/>
      <c r="BK100" s="306"/>
      <c r="BL100" s="306"/>
      <c r="BM100" s="306"/>
      <c r="BN100" s="306"/>
      <c r="BO100" s="306"/>
      <c r="BP100" s="306"/>
      <c r="BQ100" s="306"/>
      <c r="BR100" s="306"/>
      <c r="BS100" s="306"/>
      <c r="BT100" s="306"/>
      <c r="BU100" s="306"/>
      <c r="BV100" s="306"/>
      <c r="BW100" s="306"/>
      <c r="BX100" s="306"/>
      <c r="BY100" s="306"/>
      <c r="BZ100" s="306"/>
      <c r="CA100" s="306"/>
      <c r="CB100" s="306"/>
    </row>
    <row r="101" spans="1:80" s="313" customFormat="1" ht="30" customHeight="1" x14ac:dyDescent="0.25">
      <c r="A101" s="306"/>
      <c r="B101" s="307"/>
      <c r="C101" s="308"/>
      <c r="D101" s="309"/>
      <c r="E101" s="309"/>
      <c r="F101" s="413" t="s">
        <v>134</v>
      </c>
      <c r="G101" s="414"/>
      <c r="H101" s="414"/>
      <c r="I101" s="414"/>
      <c r="J101" s="1038"/>
      <c r="K101" s="1038"/>
      <c r="L101" s="1038"/>
      <c r="M101" s="310"/>
      <c r="N101" s="310"/>
      <c r="O101" s="309"/>
      <c r="P101" s="309"/>
      <c r="Q101" s="309"/>
      <c r="R101" s="311"/>
      <c r="S101" s="312"/>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306"/>
      <c r="AP101" s="306"/>
      <c r="AQ101" s="306"/>
      <c r="AR101" s="306"/>
      <c r="AS101" s="306"/>
      <c r="AT101" s="306"/>
      <c r="AU101" s="306"/>
      <c r="AV101" s="306"/>
      <c r="AW101" s="306"/>
      <c r="AX101" s="306"/>
      <c r="AY101" s="306"/>
      <c r="AZ101" s="306"/>
      <c r="BA101" s="306"/>
      <c r="BB101" s="306"/>
      <c r="BC101" s="306"/>
      <c r="BD101" s="306"/>
      <c r="BE101" s="306"/>
      <c r="BF101" s="306"/>
      <c r="BG101" s="306"/>
      <c r="BH101" s="306"/>
      <c r="BI101" s="306"/>
      <c r="BJ101" s="306"/>
      <c r="BK101" s="306"/>
      <c r="BL101" s="306"/>
      <c r="BM101" s="306"/>
      <c r="BN101" s="306"/>
      <c r="BO101" s="306"/>
      <c r="BP101" s="306"/>
      <c r="BQ101" s="306"/>
      <c r="BR101" s="306"/>
      <c r="BS101" s="306"/>
      <c r="BT101" s="306"/>
      <c r="BU101" s="306"/>
      <c r="BV101" s="306"/>
      <c r="BW101" s="306"/>
      <c r="BX101" s="306"/>
      <c r="BY101" s="306"/>
      <c r="BZ101" s="306"/>
      <c r="CA101" s="306"/>
      <c r="CB101" s="306"/>
    </row>
    <row r="102" spans="1:80" s="313" customFormat="1" ht="30" customHeight="1" x14ac:dyDescent="0.25">
      <c r="A102" s="306"/>
      <c r="B102" s="307"/>
      <c r="C102" s="308"/>
      <c r="D102" s="309"/>
      <c r="E102" s="309"/>
      <c r="F102" s="413" t="s">
        <v>159</v>
      </c>
      <c r="G102" s="414"/>
      <c r="H102" s="414"/>
      <c r="I102" s="414"/>
      <c r="J102" s="1038"/>
      <c r="K102" s="1038"/>
      <c r="L102" s="1038"/>
      <c r="M102" s="310"/>
      <c r="N102" s="310"/>
      <c r="O102" s="309"/>
      <c r="P102" s="309"/>
      <c r="Q102" s="309"/>
      <c r="R102" s="311"/>
      <c r="S102" s="312"/>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306"/>
      <c r="AP102" s="306"/>
      <c r="AQ102" s="306"/>
      <c r="AR102" s="306"/>
      <c r="AS102" s="306"/>
      <c r="AT102" s="306"/>
      <c r="AU102" s="306"/>
      <c r="AV102" s="306"/>
      <c r="AW102" s="306"/>
      <c r="AX102" s="306"/>
      <c r="AY102" s="306"/>
      <c r="AZ102" s="306"/>
      <c r="BA102" s="306"/>
      <c r="BB102" s="306"/>
      <c r="BC102" s="306"/>
      <c r="BD102" s="306"/>
      <c r="BE102" s="306"/>
      <c r="BF102" s="306"/>
      <c r="BG102" s="306"/>
      <c r="BH102" s="306"/>
      <c r="BI102" s="306"/>
      <c r="BJ102" s="306"/>
      <c r="BK102" s="306"/>
      <c r="BL102" s="306"/>
      <c r="BM102" s="306"/>
      <c r="BN102" s="306"/>
      <c r="BO102" s="306"/>
      <c r="BP102" s="306"/>
      <c r="BQ102" s="306"/>
      <c r="BR102" s="306"/>
      <c r="BS102" s="306"/>
      <c r="BT102" s="306"/>
      <c r="BU102" s="306"/>
      <c r="BV102" s="306"/>
      <c r="BW102" s="306"/>
      <c r="BX102" s="306"/>
      <c r="BY102" s="306"/>
      <c r="BZ102" s="306"/>
      <c r="CA102" s="306"/>
      <c r="CB102" s="306"/>
    </row>
    <row r="103" spans="1:80" x14ac:dyDescent="0.25">
      <c r="B103" s="246"/>
      <c r="C103" s="296"/>
      <c r="D103" s="297"/>
      <c r="E103" s="297"/>
      <c r="F103" s="297"/>
      <c r="G103" s="922"/>
      <c r="H103" s="922"/>
      <c r="I103" s="922"/>
      <c r="J103" s="922"/>
      <c r="K103" s="922"/>
      <c r="L103" s="922"/>
      <c r="M103" s="297"/>
      <c r="N103" s="297"/>
      <c r="O103" s="297"/>
      <c r="P103" s="297"/>
      <c r="Q103" s="297"/>
      <c r="R103" s="298"/>
      <c r="S103" s="247"/>
    </row>
    <row r="104" spans="1:80" ht="7.5" customHeight="1" x14ac:dyDescent="0.25">
      <c r="B104" s="246"/>
      <c r="C104" s="248"/>
      <c r="D104" s="248"/>
      <c r="E104" s="248"/>
      <c r="F104" s="248"/>
      <c r="G104" s="947"/>
      <c r="H104" s="947"/>
      <c r="I104" s="947"/>
      <c r="J104" s="947"/>
      <c r="K104" s="947"/>
      <c r="L104" s="947"/>
      <c r="M104" s="248"/>
      <c r="N104" s="248"/>
      <c r="O104" s="248"/>
      <c r="P104" s="248"/>
      <c r="Q104" s="248"/>
      <c r="R104" s="248"/>
      <c r="S104" s="247"/>
    </row>
    <row r="105" spans="1:80" ht="7.5" customHeight="1" x14ac:dyDescent="0.25">
      <c r="B105" s="246"/>
      <c r="C105" s="248"/>
      <c r="D105" s="248"/>
      <c r="E105" s="248"/>
      <c r="F105" s="248"/>
      <c r="G105" s="248"/>
      <c r="H105" s="248"/>
      <c r="I105" s="248"/>
      <c r="J105" s="248"/>
      <c r="K105" s="248"/>
      <c r="L105" s="248"/>
      <c r="M105" s="248"/>
      <c r="N105" s="248"/>
      <c r="O105" s="248"/>
      <c r="P105" s="248"/>
      <c r="Q105" s="248"/>
      <c r="R105" s="248"/>
      <c r="S105" s="247"/>
    </row>
    <row r="106" spans="1:80" x14ac:dyDescent="0.25">
      <c r="B106" s="246"/>
      <c r="C106" s="289"/>
      <c r="D106" s="290"/>
      <c r="E106" s="290"/>
      <c r="F106" s="290"/>
      <c r="G106" s="290"/>
      <c r="H106" s="290"/>
      <c r="I106" s="290"/>
      <c r="J106" s="290"/>
      <c r="K106" s="290"/>
      <c r="L106" s="290"/>
      <c r="M106" s="290"/>
      <c r="N106" s="290"/>
      <c r="O106" s="290"/>
      <c r="P106" s="290"/>
      <c r="Q106" s="290"/>
      <c r="R106" s="291"/>
      <c r="S106" s="247"/>
    </row>
    <row r="107" spans="1:80" ht="18.75" x14ac:dyDescent="0.25">
      <c r="B107" s="246"/>
      <c r="C107" s="292"/>
      <c r="D107" s="248"/>
      <c r="E107" s="936" t="s">
        <v>144</v>
      </c>
      <c r="F107" s="937"/>
      <c r="G107" s="937"/>
      <c r="H107" s="937"/>
      <c r="I107" s="937"/>
      <c r="J107" s="937"/>
      <c r="K107" s="937"/>
      <c r="L107" s="937"/>
      <c r="M107" s="937"/>
      <c r="N107" s="937"/>
      <c r="O107" s="937"/>
      <c r="P107" s="938"/>
      <c r="Q107" s="299"/>
      <c r="R107" s="293"/>
      <c r="S107" s="247"/>
    </row>
    <row r="108" spans="1:80" x14ac:dyDescent="0.25">
      <c r="B108" s="246"/>
      <c r="C108" s="292"/>
      <c r="D108" s="248"/>
      <c r="E108" s="248"/>
      <c r="F108" s="248"/>
      <c r="G108" s="248"/>
      <c r="H108" s="248"/>
      <c r="I108" s="248"/>
      <c r="J108" s="248"/>
      <c r="K108" s="248"/>
      <c r="L108" s="248"/>
      <c r="M108" s="248"/>
      <c r="N108" s="248"/>
      <c r="O108" s="248"/>
      <c r="P108" s="248"/>
      <c r="Q108" s="248"/>
      <c r="R108" s="293"/>
      <c r="S108" s="247"/>
    </row>
    <row r="109" spans="1:80" x14ac:dyDescent="0.25">
      <c r="B109" s="246"/>
      <c r="C109" s="292"/>
      <c r="D109" s="248"/>
      <c r="E109" s="248" t="s">
        <v>504</v>
      </c>
      <c r="F109" s="248"/>
      <c r="G109" s="248"/>
      <c r="H109" s="248"/>
      <c r="I109" s="248"/>
      <c r="J109" s="248"/>
      <c r="K109" s="248"/>
      <c r="L109" s="248"/>
      <c r="M109" s="248"/>
      <c r="N109" s="248"/>
      <c r="O109" s="248"/>
      <c r="P109" s="248"/>
      <c r="Q109" s="248"/>
      <c r="R109" s="293"/>
      <c r="S109" s="247"/>
    </row>
    <row r="110" spans="1:80" x14ac:dyDescent="0.25">
      <c r="B110" s="246"/>
      <c r="C110" s="292"/>
      <c r="D110" s="248"/>
      <c r="E110" s="248"/>
      <c r="F110" s="248"/>
      <c r="G110" s="248"/>
      <c r="H110" s="248"/>
      <c r="I110" s="248"/>
      <c r="J110" s="248"/>
      <c r="K110" s="248"/>
      <c r="L110" s="248"/>
      <c r="M110" s="248"/>
      <c r="N110" s="248"/>
      <c r="O110" s="248"/>
      <c r="P110" s="248"/>
      <c r="Q110" s="248"/>
      <c r="R110" s="293"/>
      <c r="S110" s="247"/>
    </row>
    <row r="111" spans="1:80" x14ac:dyDescent="0.25">
      <c r="B111" s="246"/>
      <c r="C111" s="292"/>
      <c r="D111" s="248"/>
      <c r="E111" s="248"/>
      <c r="F111" s="1039" t="str">
        <f>+CONCATENATE("Valores para"," ",G24)</f>
        <v>Valores para Vehículo motorizado mediano</v>
      </c>
      <c r="G111" s="1039"/>
      <c r="H111" s="1039"/>
      <c r="I111" s="1039"/>
      <c r="J111" s="1039"/>
      <c r="K111" s="1039"/>
      <c r="L111" s="1039"/>
      <c r="M111" s="1039"/>
      <c r="N111" s="1039"/>
      <c r="O111" s="1039"/>
      <c r="P111" s="248"/>
      <c r="Q111" s="248"/>
      <c r="R111" s="293"/>
      <c r="S111" s="247"/>
    </row>
    <row r="112" spans="1:80" ht="43.5" customHeight="1" x14ac:dyDescent="0.25">
      <c r="B112" s="246"/>
      <c r="C112" s="292"/>
      <c r="D112" s="248"/>
      <c r="E112" s="248"/>
      <c r="F112" s="931" t="s">
        <v>83</v>
      </c>
      <c r="G112" s="932"/>
      <c r="H112" s="931" t="s">
        <v>139</v>
      </c>
      <c r="I112" s="932"/>
      <c r="J112" s="931" t="s">
        <v>281</v>
      </c>
      <c r="K112" s="962"/>
      <c r="L112" s="932"/>
      <c r="M112" s="295" t="s">
        <v>125</v>
      </c>
      <c r="N112" s="295" t="s">
        <v>424</v>
      </c>
      <c r="O112" s="295" t="s">
        <v>137</v>
      </c>
      <c r="P112" s="248"/>
      <c r="Q112" s="248"/>
      <c r="R112" s="293"/>
      <c r="S112" s="247"/>
    </row>
    <row r="113" spans="2:19" ht="43.5" customHeight="1" x14ac:dyDescent="0.25">
      <c r="B113" s="246"/>
      <c r="C113" s="292"/>
      <c r="D113" s="248"/>
      <c r="E113" s="248"/>
      <c r="F113" s="1031" t="s">
        <v>459</v>
      </c>
      <c r="G113" s="1032"/>
      <c r="H113" s="1035"/>
      <c r="I113" s="1035"/>
      <c r="J113" s="1040" t="s">
        <v>237</v>
      </c>
      <c r="K113" s="1041"/>
      <c r="L113" s="1042"/>
      <c r="M113" s="314"/>
      <c r="N113" s="314"/>
      <c r="O113" s="314"/>
      <c r="P113" s="624"/>
      <c r="Q113" s="248"/>
      <c r="R113" s="293"/>
      <c r="S113" s="247"/>
    </row>
    <row r="114" spans="2:19" ht="45" customHeight="1" x14ac:dyDescent="0.25">
      <c r="B114" s="246"/>
      <c r="C114" s="292"/>
      <c r="D114" s="248"/>
      <c r="E114" s="248"/>
      <c r="F114" s="1031" t="s">
        <v>733</v>
      </c>
      <c r="G114" s="1032"/>
      <c r="H114" s="1034"/>
      <c r="I114" s="1034"/>
      <c r="J114" s="952">
        <f>IFERROR(IF(G24="Equipo de tracción manual",8%*('C.RecicladoresRef'!G42)/12,Referencias!C97*(IF('C.Recicladores'!F40&gt;0,'C.RecicladoresRef'!G40,0)+IF('C.Recicladores'!F41&gt;0,'C.RecicladoresRef'!G41,0))/12),0)</f>
        <v>0</v>
      </c>
      <c r="K114" s="953"/>
      <c r="L114" s="954"/>
      <c r="M114" s="314"/>
      <c r="N114" s="314"/>
      <c r="O114" s="314"/>
      <c r="P114" s="329"/>
      <c r="Q114" s="248"/>
      <c r="R114" s="293"/>
      <c r="S114" s="247"/>
    </row>
    <row r="115" spans="2:19" ht="37.5" customHeight="1" x14ac:dyDescent="0.25">
      <c r="B115" s="246"/>
      <c r="C115" s="292"/>
      <c r="D115" s="248"/>
      <c r="E115" s="433"/>
      <c r="F115" s="248"/>
      <c r="G115" s="248"/>
      <c r="H115" s="248"/>
      <c r="I115" s="248"/>
      <c r="J115" s="248"/>
      <c r="K115" s="248"/>
      <c r="L115" s="248"/>
      <c r="M115" s="248"/>
      <c r="N115" s="248"/>
      <c r="O115" s="248"/>
      <c r="P115" s="248"/>
      <c r="Q115" s="248"/>
      <c r="R115" s="293"/>
      <c r="S115" s="247"/>
    </row>
    <row r="116" spans="2:19" x14ac:dyDescent="0.25">
      <c r="B116" s="246"/>
      <c r="C116" s="292"/>
      <c r="D116" s="248"/>
      <c r="E116" s="248"/>
      <c r="F116" s="1045" t="str">
        <f>+IF(G19="Combinación de equipo de tracción manual con camión",CONCATENATE("Valores para","",O24),"No diligenciar")</f>
        <v>Valores paraEquipo de tracción manual</v>
      </c>
      <c r="G116" s="1045"/>
      <c r="H116" s="1045"/>
      <c r="I116" s="1045"/>
      <c r="J116" s="1045"/>
      <c r="K116" s="1045"/>
      <c r="L116" s="1045"/>
      <c r="M116" s="1045"/>
      <c r="N116" s="1045"/>
      <c r="O116" s="1045"/>
      <c r="P116" s="248"/>
      <c r="Q116" s="248"/>
      <c r="R116" s="293"/>
      <c r="S116" s="247"/>
    </row>
    <row r="117" spans="2:19" ht="48" customHeight="1" x14ac:dyDescent="0.25">
      <c r="B117" s="246"/>
      <c r="C117" s="292"/>
      <c r="D117" s="248"/>
      <c r="E117" s="248"/>
      <c r="F117" s="998" t="s">
        <v>83</v>
      </c>
      <c r="G117" s="999"/>
      <c r="H117" s="921" t="s">
        <v>139</v>
      </c>
      <c r="I117" s="921"/>
      <c r="J117" s="921" t="s">
        <v>281</v>
      </c>
      <c r="K117" s="921"/>
      <c r="L117" s="921"/>
      <c r="M117" s="295" t="s">
        <v>125</v>
      </c>
      <c r="N117" s="295" t="s">
        <v>424</v>
      </c>
      <c r="O117" s="295" t="s">
        <v>137</v>
      </c>
      <c r="P117" s="248"/>
      <c r="Q117" s="248"/>
      <c r="R117" s="293"/>
      <c r="S117" s="247"/>
    </row>
    <row r="118" spans="2:19" ht="37.5" customHeight="1" x14ac:dyDescent="0.25">
      <c r="B118" s="246"/>
      <c r="C118" s="292"/>
      <c r="D118" s="248"/>
      <c r="E118" s="248"/>
      <c r="F118" s="1033" t="s">
        <v>733</v>
      </c>
      <c r="G118" s="1033"/>
      <c r="H118" s="1001"/>
      <c r="I118" s="1002"/>
      <c r="J118" s="948">
        <f>IFERROR(IF(G24="Equipo de tracción manual",0,8%*('C.RecicladoresRef'!G42)/12),0)</f>
        <v>2.4300834612164732</v>
      </c>
      <c r="K118" s="948"/>
      <c r="L118" s="948"/>
      <c r="M118" s="314"/>
      <c r="N118" s="314"/>
      <c r="O118" s="314"/>
      <c r="P118" s="248"/>
      <c r="Q118" s="248"/>
      <c r="R118" s="293"/>
      <c r="S118" s="247"/>
    </row>
    <row r="119" spans="2:19" ht="37.5" customHeight="1" x14ac:dyDescent="0.25">
      <c r="B119" s="246"/>
      <c r="C119" s="292"/>
      <c r="D119" s="248"/>
      <c r="E119" s="248"/>
      <c r="F119" s="248"/>
      <c r="G119" s="248"/>
      <c r="H119" s="248"/>
      <c r="I119" s="248"/>
      <c r="J119" s="248"/>
      <c r="K119" s="248"/>
      <c r="L119" s="248"/>
      <c r="M119" s="248"/>
      <c r="N119" s="248"/>
      <c r="O119" s="248"/>
      <c r="P119" s="248"/>
      <c r="Q119" s="248"/>
      <c r="R119" s="293"/>
      <c r="S119" s="247"/>
    </row>
    <row r="120" spans="2:19" x14ac:dyDescent="0.25">
      <c r="B120" s="246"/>
      <c r="C120" s="296"/>
      <c r="D120" s="297"/>
      <c r="E120" s="297"/>
      <c r="F120" s="297"/>
      <c r="G120" s="297"/>
      <c r="H120" s="297"/>
      <c r="I120" s="297"/>
      <c r="J120" s="297"/>
      <c r="K120" s="297"/>
      <c r="L120" s="297"/>
      <c r="M120" s="297"/>
      <c r="N120" s="297"/>
      <c r="O120" s="297"/>
      <c r="P120" s="297"/>
      <c r="Q120" s="297"/>
      <c r="R120" s="298"/>
      <c r="S120" s="247"/>
    </row>
    <row r="121" spans="2:19" ht="9" customHeight="1" x14ac:dyDescent="0.25">
      <c r="B121" s="246"/>
      <c r="C121" s="248"/>
      <c r="D121" s="248"/>
      <c r="E121" s="248"/>
      <c r="F121" s="248"/>
      <c r="G121" s="248"/>
      <c r="H121" s="248"/>
      <c r="I121" s="248"/>
      <c r="J121" s="248"/>
      <c r="K121" s="248"/>
      <c r="L121" s="248"/>
      <c r="M121" s="248"/>
      <c r="N121" s="248"/>
      <c r="O121" s="248"/>
      <c r="P121" s="248"/>
      <c r="Q121" s="248"/>
      <c r="R121" s="248"/>
      <c r="S121" s="247"/>
    </row>
    <row r="122" spans="2:19" ht="23.25" customHeight="1" x14ac:dyDescent="0.25">
      <c r="B122" s="246"/>
      <c r="C122" s="289"/>
      <c r="D122" s="290"/>
      <c r="E122" s="290"/>
      <c r="F122" s="290"/>
      <c r="G122" s="290"/>
      <c r="H122" s="290"/>
      <c r="I122" s="290"/>
      <c r="J122" s="290"/>
      <c r="K122" s="290"/>
      <c r="L122" s="290"/>
      <c r="M122" s="290"/>
      <c r="N122" s="290"/>
      <c r="O122" s="290"/>
      <c r="P122" s="290"/>
      <c r="Q122" s="290"/>
      <c r="R122" s="291"/>
      <c r="S122" s="247"/>
    </row>
    <row r="123" spans="2:19" ht="18.75" x14ac:dyDescent="0.25">
      <c r="B123" s="246"/>
      <c r="C123" s="292"/>
      <c r="D123" s="248"/>
      <c r="E123" s="936" t="s">
        <v>143</v>
      </c>
      <c r="F123" s="937"/>
      <c r="G123" s="937"/>
      <c r="H123" s="937"/>
      <c r="I123" s="937"/>
      <c r="J123" s="937"/>
      <c r="K123" s="937"/>
      <c r="L123" s="937"/>
      <c r="M123" s="937"/>
      <c r="N123" s="937"/>
      <c r="O123" s="937"/>
      <c r="P123" s="938"/>
      <c r="Q123" s="248"/>
      <c r="R123" s="293"/>
      <c r="S123" s="247"/>
    </row>
    <row r="124" spans="2:19" ht="21" customHeight="1" x14ac:dyDescent="0.25">
      <c r="B124" s="246"/>
      <c r="C124" s="292"/>
      <c r="D124" s="248"/>
      <c r="E124" s="303" t="s">
        <v>512</v>
      </c>
      <c r="F124" s="248"/>
      <c r="G124" s="248"/>
      <c r="H124" s="248"/>
      <c r="I124" s="248"/>
      <c r="J124" s="248"/>
      <c r="K124" s="248"/>
      <c r="L124" s="248"/>
      <c r="M124" s="248"/>
      <c r="N124" s="248"/>
      <c r="O124" s="248"/>
      <c r="P124" s="248"/>
      <c r="Q124" s="299"/>
      <c r="R124" s="293"/>
      <c r="S124" s="247"/>
    </row>
    <row r="125" spans="2:19" ht="15" customHeight="1" x14ac:dyDescent="0.25">
      <c r="B125" s="246"/>
      <c r="C125" s="292"/>
      <c r="D125" s="248"/>
      <c r="E125" s="248"/>
      <c r="F125" s="248"/>
      <c r="G125" s="248"/>
      <c r="H125" s="248"/>
      <c r="I125" s="248"/>
      <c r="J125" s="248"/>
      <c r="K125" s="248"/>
      <c r="L125" s="248"/>
      <c r="M125" s="248"/>
      <c r="N125" s="248"/>
      <c r="O125" s="248"/>
      <c r="P125" s="315"/>
      <c r="Q125" s="248"/>
      <c r="R125" s="293"/>
      <c r="S125" s="247"/>
    </row>
    <row r="126" spans="2:19" ht="43.5" customHeight="1" x14ac:dyDescent="0.25">
      <c r="B126" s="246"/>
      <c r="C126" s="292"/>
      <c r="D126" s="248"/>
      <c r="E126" s="248"/>
      <c r="F126" s="921" t="s">
        <v>83</v>
      </c>
      <c r="G126" s="921"/>
      <c r="H126" s="921" t="s">
        <v>734</v>
      </c>
      <c r="I126" s="921"/>
      <c r="J126" s="997" t="s">
        <v>146</v>
      </c>
      <c r="K126" s="997"/>
      <c r="L126" s="997"/>
      <c r="M126" s="295" t="s">
        <v>125</v>
      </c>
      <c r="N126" s="295" t="s">
        <v>424</v>
      </c>
      <c r="O126" s="295" t="s">
        <v>137</v>
      </c>
      <c r="P126" s="248"/>
      <c r="Q126" s="248"/>
      <c r="R126" s="293"/>
      <c r="S126" s="247"/>
    </row>
    <row r="127" spans="2:19" ht="17.25" customHeight="1" x14ac:dyDescent="0.25">
      <c r="B127" s="246"/>
      <c r="C127" s="292"/>
      <c r="D127" s="248"/>
      <c r="E127" s="248"/>
      <c r="F127" s="1005" t="s">
        <v>735</v>
      </c>
      <c r="G127" s="1005"/>
      <c r="H127" s="1003"/>
      <c r="I127" s="1004"/>
      <c r="J127" s="948">
        <f>+IFERROR(HLOOKUP("Vehículo motorizado pequeño",Referencias!$C$76:$G$99,21,0)*'C.RecicladoresRef'!G40,0)</f>
        <v>72.902503836494304</v>
      </c>
      <c r="K127" s="948"/>
      <c r="L127" s="948"/>
      <c r="M127" s="314"/>
      <c r="N127" s="300"/>
      <c r="O127" s="300"/>
      <c r="P127" s="248"/>
      <c r="Q127" s="248"/>
      <c r="R127" s="293"/>
      <c r="S127" s="247"/>
    </row>
    <row r="128" spans="2:19" ht="17.25" customHeight="1" x14ac:dyDescent="0.25">
      <c r="B128" s="246"/>
      <c r="C128" s="292"/>
      <c r="D128" s="248"/>
      <c r="E128" s="248"/>
      <c r="F128" s="1005" t="s">
        <v>212</v>
      </c>
      <c r="G128" s="1005"/>
      <c r="H128" s="1036"/>
      <c r="I128" s="1037"/>
      <c r="J128" s="948">
        <f>+IFERROR(HLOOKUP("Vehículo motorizado mediano",Referencias!$C$76:$G$99,21,0)*'C.RecicladoresRef'!G41,0)</f>
        <v>291.61001534597699</v>
      </c>
      <c r="K128" s="948"/>
      <c r="L128" s="948"/>
      <c r="M128" s="314"/>
      <c r="N128" s="300"/>
      <c r="O128" s="300"/>
      <c r="P128" s="248"/>
      <c r="Q128" s="248"/>
      <c r="R128" s="293"/>
      <c r="S128" s="247"/>
    </row>
    <row r="129" spans="2:19" ht="17.25" customHeight="1" x14ac:dyDescent="0.25">
      <c r="B129" s="246"/>
      <c r="C129" s="292"/>
      <c r="D129" s="248"/>
      <c r="E129" s="248"/>
      <c r="F129" s="1005" t="s">
        <v>736</v>
      </c>
      <c r="G129" s="1005"/>
      <c r="H129" s="1003"/>
      <c r="I129" s="1004"/>
      <c r="J129" s="948">
        <f>+IFERROR(HLOOKUP("Equipo de tracción manual",Referencias!$C$76:$G$99,21,0)*'C.RecicladoresRef'!G42,0)</f>
        <v>3.6451251918247101</v>
      </c>
      <c r="K129" s="948"/>
      <c r="L129" s="948"/>
      <c r="M129" s="314"/>
      <c r="N129" s="300"/>
      <c r="O129" s="300"/>
      <c r="P129" s="315"/>
      <c r="Q129" s="248"/>
      <c r="R129" s="293"/>
      <c r="S129" s="247"/>
    </row>
    <row r="130" spans="2:19" ht="17.25" customHeight="1" x14ac:dyDescent="0.25">
      <c r="B130" s="246"/>
      <c r="C130" s="292"/>
      <c r="D130" s="248"/>
      <c r="E130" s="248"/>
      <c r="F130" s="1005" t="s">
        <v>737</v>
      </c>
      <c r="G130" s="1005"/>
      <c r="H130" s="1003"/>
      <c r="I130" s="1004"/>
      <c r="J130" s="948">
        <f>+IFERROR(HLOOKUP("Contenedores",Referencias!$C$76:$G$99,21,0)*'C.RecicladoresRef'!G43,0)</f>
        <v>0</v>
      </c>
      <c r="K130" s="948"/>
      <c r="L130" s="948"/>
      <c r="M130" s="314"/>
      <c r="N130" s="300"/>
      <c r="O130" s="300"/>
      <c r="P130" s="316"/>
      <c r="Q130" s="248"/>
      <c r="R130" s="293"/>
      <c r="S130" s="247"/>
    </row>
    <row r="131" spans="2:19" x14ac:dyDescent="0.25">
      <c r="B131" s="246"/>
      <c r="C131" s="296"/>
      <c r="D131" s="297"/>
      <c r="E131" s="297"/>
      <c r="F131" s="297"/>
      <c r="G131" s="297"/>
      <c r="H131" s="297"/>
      <c r="I131" s="297"/>
      <c r="J131" s="297"/>
      <c r="K131" s="297"/>
      <c r="L131" s="297"/>
      <c r="M131" s="297"/>
      <c r="N131" s="297"/>
      <c r="O131" s="297"/>
      <c r="P131" s="297"/>
      <c r="Q131" s="297"/>
      <c r="R131" s="298"/>
      <c r="S131" s="247"/>
    </row>
    <row r="132" spans="2:19" ht="22.5" customHeight="1" thickBot="1" x14ac:dyDescent="0.3">
      <c r="B132" s="317"/>
      <c r="C132" s="318"/>
      <c r="D132" s="318"/>
      <c r="E132" s="318"/>
      <c r="F132" s="318"/>
      <c r="G132" s="318"/>
      <c r="H132" s="318"/>
      <c r="I132" s="318"/>
      <c r="J132" s="318"/>
      <c r="K132" s="318"/>
      <c r="L132" s="318"/>
      <c r="M132" s="318"/>
      <c r="N132" s="318"/>
      <c r="O132" s="318"/>
      <c r="P132" s="318"/>
      <c r="Q132" s="318"/>
      <c r="R132" s="318"/>
      <c r="S132" s="319"/>
    </row>
    <row r="133" spans="2:19" s="238" customFormat="1" ht="22.5" customHeight="1" x14ac:dyDescent="0.25">
      <c r="B133" s="320"/>
      <c r="C133" s="320"/>
      <c r="D133" s="320"/>
      <c r="E133" s="320"/>
      <c r="F133" s="320"/>
      <c r="G133" s="320"/>
      <c r="H133" s="320"/>
      <c r="I133" s="320"/>
      <c r="J133" s="320"/>
      <c r="K133" s="320"/>
      <c r="L133" s="320"/>
      <c r="M133" s="320"/>
      <c r="N133" s="320"/>
      <c r="O133" s="320"/>
      <c r="P133" s="320"/>
      <c r="Q133" s="320"/>
      <c r="R133" s="320"/>
      <c r="S133" s="320"/>
    </row>
    <row r="134" spans="2:19" s="238" customFormat="1" ht="18.75" customHeight="1" thickBot="1" x14ac:dyDescent="0.3">
      <c r="C134" s="320"/>
      <c r="D134" s="320"/>
      <c r="E134" s="320"/>
      <c r="F134" s="320"/>
      <c r="G134" s="320"/>
      <c r="H134" s="320"/>
      <c r="I134" s="320"/>
      <c r="J134" s="320"/>
      <c r="K134" s="320"/>
      <c r="L134" s="320"/>
      <c r="M134" s="320"/>
      <c r="N134" s="320"/>
      <c r="O134" s="320"/>
      <c r="P134" s="320"/>
      <c r="Q134" s="320"/>
      <c r="R134" s="320"/>
    </row>
    <row r="135" spans="2:19" x14ac:dyDescent="0.25">
      <c r="B135" s="242"/>
      <c r="C135" s="243"/>
      <c r="D135" s="243"/>
      <c r="E135" s="243"/>
      <c r="F135" s="243"/>
      <c r="G135" s="243"/>
      <c r="H135" s="243"/>
      <c r="I135" s="243"/>
      <c r="J135" s="243"/>
      <c r="K135" s="243"/>
      <c r="L135" s="243"/>
      <c r="M135" s="243"/>
      <c r="N135" s="243"/>
      <c r="O135" s="243"/>
      <c r="P135" s="243"/>
      <c r="Q135" s="243"/>
      <c r="R135" s="243"/>
      <c r="S135" s="244"/>
    </row>
    <row r="136" spans="2:19" ht="23.25" x14ac:dyDescent="0.25">
      <c r="B136" s="246"/>
      <c r="C136" s="942" t="s">
        <v>673</v>
      </c>
      <c r="D136" s="942"/>
      <c r="E136" s="942"/>
      <c r="F136" s="942"/>
      <c r="G136" s="942"/>
      <c r="H136" s="942"/>
      <c r="I136" s="942"/>
      <c r="J136" s="942"/>
      <c r="K136" s="942"/>
      <c r="L136" s="942"/>
      <c r="M136" s="942"/>
      <c r="N136" s="942"/>
      <c r="O136" s="942"/>
      <c r="P136" s="942"/>
      <c r="Q136" s="942"/>
      <c r="R136" s="942"/>
      <c r="S136" s="247"/>
    </row>
    <row r="137" spans="2:19" x14ac:dyDescent="0.25">
      <c r="B137" s="246"/>
      <c r="C137" s="248"/>
      <c r="D137" s="248"/>
      <c r="E137" s="248"/>
      <c r="F137" s="248"/>
      <c r="G137" s="248"/>
      <c r="H137" s="248"/>
      <c r="I137" s="248"/>
      <c r="J137" s="248"/>
      <c r="K137" s="248"/>
      <c r="L137" s="248"/>
      <c r="M137" s="248"/>
      <c r="N137" s="248"/>
      <c r="O137" s="248"/>
      <c r="P137" s="248"/>
      <c r="Q137" s="248"/>
      <c r="R137" s="248"/>
      <c r="S137" s="247"/>
    </row>
    <row r="138" spans="2:19" x14ac:dyDescent="0.25">
      <c r="B138" s="246"/>
      <c r="C138" s="248"/>
      <c r="D138" s="248"/>
      <c r="E138" s="248"/>
      <c r="F138" s="248"/>
      <c r="G138" s="248"/>
      <c r="H138" s="248"/>
      <c r="I138" s="248"/>
      <c r="J138" s="248"/>
      <c r="K138" s="248"/>
      <c r="L138" s="248"/>
      <c r="M138" s="248"/>
      <c r="N138" s="248"/>
      <c r="O138" s="248"/>
      <c r="P138" s="248"/>
      <c r="Q138" s="248"/>
      <c r="R138" s="248"/>
      <c r="S138" s="247"/>
    </row>
    <row r="139" spans="2:19" x14ac:dyDescent="0.25">
      <c r="B139" s="246"/>
      <c r="C139" s="289"/>
      <c r="D139" s="290"/>
      <c r="E139" s="290"/>
      <c r="F139" s="290"/>
      <c r="G139" s="290"/>
      <c r="H139" s="290"/>
      <c r="I139" s="290"/>
      <c r="J139" s="290"/>
      <c r="K139" s="290"/>
      <c r="L139" s="290"/>
      <c r="M139" s="290"/>
      <c r="N139" s="290"/>
      <c r="O139" s="290"/>
      <c r="P139" s="290"/>
      <c r="Q139" s="290"/>
      <c r="R139" s="291"/>
      <c r="S139" s="247"/>
    </row>
    <row r="140" spans="2:19" ht="18.75" x14ac:dyDescent="0.25">
      <c r="B140" s="246"/>
      <c r="C140" s="292"/>
      <c r="D140" s="248"/>
      <c r="E140" s="936" t="s">
        <v>147</v>
      </c>
      <c r="F140" s="937"/>
      <c r="G140" s="937"/>
      <c r="H140" s="937"/>
      <c r="I140" s="937"/>
      <c r="J140" s="937"/>
      <c r="K140" s="937"/>
      <c r="L140" s="937"/>
      <c r="M140" s="937"/>
      <c r="N140" s="937"/>
      <c r="O140" s="937"/>
      <c r="P140" s="938"/>
      <c r="Q140" s="248"/>
      <c r="R140" s="293"/>
      <c r="S140" s="247"/>
    </row>
    <row r="141" spans="2:19" x14ac:dyDescent="0.25">
      <c r="B141" s="246"/>
      <c r="C141" s="292"/>
      <c r="D141" s="248"/>
      <c r="E141" s="248"/>
      <c r="F141" s="248"/>
      <c r="G141" s="248"/>
      <c r="H141" s="248"/>
      <c r="I141" s="248"/>
      <c r="J141" s="248"/>
      <c r="K141" s="248"/>
      <c r="L141" s="248"/>
      <c r="M141" s="248"/>
      <c r="N141" s="248"/>
      <c r="O141" s="248"/>
      <c r="P141" s="248"/>
      <c r="Q141" s="248"/>
      <c r="R141" s="293"/>
      <c r="S141" s="247"/>
    </row>
    <row r="142" spans="2:19" ht="30" x14ac:dyDescent="0.25">
      <c r="B142" s="246"/>
      <c r="C142" s="292"/>
      <c r="D142" s="248"/>
      <c r="E142" s="1000" t="s">
        <v>618</v>
      </c>
      <c r="F142" s="934"/>
      <c r="G142" s="934"/>
      <c r="H142" s="934"/>
      <c r="I142" s="248"/>
      <c r="J142" s="248"/>
      <c r="K142" s="321" t="s">
        <v>149</v>
      </c>
      <c r="L142" s="248"/>
      <c r="M142" s="248"/>
      <c r="N142" s="248"/>
      <c r="O142" s="322" t="s">
        <v>103</v>
      </c>
      <c r="P142" s="323" t="s">
        <v>111</v>
      </c>
      <c r="Q142" s="248"/>
      <c r="R142" s="293"/>
      <c r="S142" s="247"/>
    </row>
    <row r="143" spans="2:19" x14ac:dyDescent="0.25">
      <c r="B143" s="246"/>
      <c r="C143" s="292"/>
      <c r="D143" s="248"/>
      <c r="E143" s="248"/>
      <c r="F143" s="248"/>
      <c r="G143" s="248"/>
      <c r="H143" s="248"/>
      <c r="I143" s="248"/>
      <c r="J143" s="248"/>
      <c r="K143" s="303" t="s">
        <v>620</v>
      </c>
      <c r="L143" s="248"/>
      <c r="M143" s="248"/>
      <c r="N143" s="248"/>
      <c r="O143" s="234"/>
      <c r="P143" s="353">
        <f>IFERROR(IFERROR(IF('C.Recicladores'!C109&lt;1500,Referencias!C140+Referencias!C139,IF('C.Recicladores'!C109&lt;15000,Referencias!H140+Referencias!H139,Referencias!M140+Referencias!M139)),0),0)</f>
        <v>0</v>
      </c>
      <c r="Q143" s="248"/>
      <c r="R143" s="293"/>
      <c r="S143" s="247"/>
    </row>
    <row r="144" spans="2:19" ht="15.75" x14ac:dyDescent="0.25">
      <c r="B144" s="246"/>
      <c r="C144" s="292"/>
      <c r="D144" s="248"/>
      <c r="E144" s="324"/>
      <c r="F144" s="324"/>
      <c r="G144" s="324"/>
      <c r="H144" s="324"/>
      <c r="I144" s="324"/>
      <c r="J144" s="324"/>
      <c r="K144" s="303" t="s">
        <v>150</v>
      </c>
      <c r="L144" s="324"/>
      <c r="M144" s="248"/>
      <c r="N144" s="248"/>
      <c r="O144" s="673"/>
      <c r="P144" s="354">
        <f>IFERROR(HLOOKUP('C.Recicladores'!C120,Referencias!C117:E132,Referencias!A122,0),0)</f>
        <v>0</v>
      </c>
      <c r="Q144" s="248"/>
      <c r="R144" s="293"/>
      <c r="S144" s="247"/>
    </row>
    <row r="145" spans="2:19" x14ac:dyDescent="0.25">
      <c r="B145" s="246"/>
      <c r="C145" s="292"/>
      <c r="D145" s="248"/>
      <c r="E145" s="248"/>
      <c r="F145" s="325"/>
      <c r="G145" s="248"/>
      <c r="H145" s="248"/>
      <c r="I145" s="248"/>
      <c r="J145" s="248"/>
      <c r="K145" s="303" t="s">
        <v>151</v>
      </c>
      <c r="L145" s="248"/>
      <c r="M145" s="248"/>
      <c r="N145" s="248"/>
      <c r="O145" s="672"/>
      <c r="P145" s="355">
        <f>IFERROR(HLOOKUP('C.Recicladores'!C120,Referencias!C117:E132,Referencias!A123,0),0)</f>
        <v>0</v>
      </c>
      <c r="Q145" s="248"/>
      <c r="R145" s="293"/>
      <c r="S145" s="247"/>
    </row>
    <row r="146" spans="2:19" x14ac:dyDescent="0.25">
      <c r="B146" s="246"/>
      <c r="C146" s="292"/>
      <c r="D146" s="248"/>
      <c r="E146" s="248"/>
      <c r="F146" s="248"/>
      <c r="G146" s="248"/>
      <c r="H146" s="248"/>
      <c r="I146" s="248"/>
      <c r="J146" s="248"/>
      <c r="K146" s="303" t="s">
        <v>152</v>
      </c>
      <c r="L146" s="248"/>
      <c r="M146" s="248"/>
      <c r="N146" s="248"/>
      <c r="O146" s="673"/>
      <c r="P146" s="353">
        <v>20</v>
      </c>
      <c r="Q146" s="248"/>
      <c r="R146" s="293"/>
      <c r="S146" s="247"/>
    </row>
    <row r="147" spans="2:19" x14ac:dyDescent="0.25">
      <c r="B147" s="246"/>
      <c r="C147" s="292"/>
      <c r="D147" s="248"/>
      <c r="E147" s="248"/>
      <c r="F147" s="248"/>
      <c r="G147" s="248"/>
      <c r="H147" s="248"/>
      <c r="I147" s="248"/>
      <c r="J147" s="248"/>
      <c r="K147" s="248"/>
      <c r="L147" s="248"/>
      <c r="M147" s="248"/>
      <c r="N147" s="248"/>
      <c r="O147" s="248"/>
      <c r="P147" s="248"/>
      <c r="Q147" s="248"/>
      <c r="R147" s="293"/>
      <c r="S147" s="247"/>
    </row>
    <row r="148" spans="2:19" ht="36.75" customHeight="1" x14ac:dyDescent="0.25">
      <c r="B148" s="246"/>
      <c r="C148" s="292"/>
      <c r="D148" s="248"/>
      <c r="E148" s="1043" t="str">
        <f>+IF('C.Recicladores'!C99=TRUE,"Indique la capacidad a modelar de cada centro (ton/año)","Indique la cantidad de centros")</f>
        <v>Indique la cantidad de centros</v>
      </c>
      <c r="F148" s="1044"/>
      <c r="G148" s="233"/>
      <c r="H148" s="248"/>
      <c r="I148" s="233"/>
      <c r="J148" s="248"/>
      <c r="K148" s="322" t="s">
        <v>154</v>
      </c>
      <c r="L148" s="248"/>
      <c r="M148" s="248"/>
      <c r="N148" s="248"/>
      <c r="O148" s="248"/>
      <c r="P148" s="248"/>
      <c r="Q148" s="248"/>
      <c r="R148" s="293"/>
      <c r="S148" s="247"/>
    </row>
    <row r="149" spans="2:19" x14ac:dyDescent="0.25">
      <c r="B149" s="246"/>
      <c r="C149" s="292"/>
      <c r="D149" s="248"/>
      <c r="E149" s="410" t="str">
        <f>+IF(Tamaño=TRUE,"Cantidad de centros","Capacidad de los centros (ton/año)")</f>
        <v>Capacidad de los centros (ton/año)</v>
      </c>
      <c r="F149" s="410"/>
      <c r="G149" s="352">
        <f>IFERROR(ROUNDUP('C.Recicladores'!C109/'Datos Recicladores'!G148,0),0)</f>
        <v>0</v>
      </c>
      <c r="H149" s="248"/>
      <c r="I149" s="326">
        <f>+IFERROR(ROUNDUP('C.Recicladores'!C109/'Datos Recicladores'!I148,0),0)</f>
        <v>0</v>
      </c>
      <c r="J149" s="248"/>
      <c r="K149" s="303" t="s">
        <v>155</v>
      </c>
      <c r="L149" s="248"/>
      <c r="M149" s="248"/>
      <c r="N149" s="248"/>
      <c r="O149" s="248"/>
      <c r="P149" s="248"/>
      <c r="Q149" s="248"/>
      <c r="R149" s="293"/>
      <c r="S149" s="247"/>
    </row>
    <row r="150" spans="2:19" x14ac:dyDescent="0.25">
      <c r="B150" s="246"/>
      <c r="C150" s="292"/>
      <c r="D150" s="248"/>
      <c r="E150" s="410" t="s">
        <v>438</v>
      </c>
      <c r="F150" s="410"/>
      <c r="G150" s="352">
        <f>IFERROR(G149*G148,0)</f>
        <v>0</v>
      </c>
      <c r="H150" s="248"/>
      <c r="I150" s="327">
        <f>+I149*I148</f>
        <v>0</v>
      </c>
      <c r="J150" s="248"/>
      <c r="K150" s="248"/>
      <c r="L150" s="248"/>
      <c r="M150" s="248"/>
      <c r="N150" s="248"/>
      <c r="O150" s="248"/>
      <c r="P150" s="248"/>
      <c r="Q150" s="248"/>
      <c r="R150" s="293"/>
      <c r="S150" s="247"/>
    </row>
    <row r="151" spans="2:19" x14ac:dyDescent="0.25">
      <c r="B151" s="246"/>
      <c r="C151" s="292"/>
      <c r="D151" s="248"/>
      <c r="E151" s="410" t="s">
        <v>439</v>
      </c>
      <c r="F151" s="410"/>
      <c r="G151" s="352">
        <f>+IFERROR('C.Recicladores'!C116,0)</f>
        <v>0</v>
      </c>
      <c r="H151" s="248"/>
      <c r="I151" s="328">
        <f>+IFERROR('C.Recicladores'!C116,0)</f>
        <v>0</v>
      </c>
      <c r="J151" s="248"/>
      <c r="K151" s="248"/>
      <c r="L151" s="248"/>
      <c r="M151" s="248"/>
      <c r="N151" s="248"/>
      <c r="O151" s="248"/>
      <c r="P151" s="248"/>
      <c r="Q151" s="248"/>
      <c r="R151" s="293"/>
      <c r="S151" s="247"/>
    </row>
    <row r="152" spans="2:19" ht="30" x14ac:dyDescent="0.25">
      <c r="B152" s="246"/>
      <c r="C152" s="292"/>
      <c r="D152" s="248"/>
      <c r="E152" s="248"/>
      <c r="F152" s="248"/>
      <c r="G152" s="329"/>
      <c r="H152" s="248"/>
      <c r="I152" s="329"/>
      <c r="J152" s="248"/>
      <c r="K152" s="248"/>
      <c r="L152" s="248"/>
      <c r="M152" s="248"/>
      <c r="N152" s="420" t="str">
        <f>+IF('C.Recicladores'!C104=TRUE, "Digite el valor","")</f>
        <v>Digite el valor</v>
      </c>
      <c r="O152" s="420" t="str">
        <f>+IF('C.Recicladores'!C105=TRUE, "Digite el valor","")</f>
        <v/>
      </c>
      <c r="P152" s="323" t="s">
        <v>111</v>
      </c>
      <c r="Q152" s="248"/>
      <c r="R152" s="293"/>
      <c r="S152" s="247"/>
    </row>
    <row r="153" spans="2:19" ht="27.75" customHeight="1" x14ac:dyDescent="0.25">
      <c r="B153" s="246"/>
      <c r="C153" s="292"/>
      <c r="D153" s="248"/>
      <c r="E153" s="248"/>
      <c r="F153" s="248"/>
      <c r="G153" s="248"/>
      <c r="H153" s="248"/>
      <c r="I153" s="248"/>
      <c r="J153" s="248"/>
      <c r="K153" s="923" t="str">
        <f>+IF('C.Recicladores'!C105=TRUE,"Rendimientos en clasificación material (Ton/ope-turno)", "Cantidad de operarios de separación por centro")</f>
        <v>Cantidad de operarios de separación por centro</v>
      </c>
      <c r="L153" s="923"/>
      <c r="M153" s="924"/>
      <c r="N153" s="673"/>
      <c r="O153" s="233"/>
      <c r="P153" s="599">
        <f>IFERROR(IF('C.Recicladores'!C105=FALSE,HLOOKUP('C.Recicladores'!C120,Referencias!C166:E171,2,0),HLOOKUP('C.Recicladores'!C120,Referencias!C120:E132,5,0)),0)</f>
        <v>0</v>
      </c>
      <c r="Q153" s="248"/>
      <c r="R153" s="293"/>
      <c r="S153" s="247"/>
    </row>
    <row r="154" spans="2:19" ht="30.75" customHeight="1" x14ac:dyDescent="0.25">
      <c r="B154" s="246"/>
      <c r="C154" s="292"/>
      <c r="D154" s="248"/>
      <c r="E154" s="248"/>
      <c r="F154" s="248"/>
      <c r="G154" s="248"/>
      <c r="H154" s="248"/>
      <c r="I154" s="248"/>
      <c r="J154" s="248"/>
      <c r="K154" s="923" t="str">
        <f>+IF('C.Recicladores'!C105=FALSE,"Cantidad de operarios de báscula y minicargador por centro","")</f>
        <v>Cantidad de operarios de báscula y minicargador por centro</v>
      </c>
      <c r="L154" s="923"/>
      <c r="M154" s="924"/>
      <c r="N154" s="673"/>
      <c r="O154" s="233"/>
      <c r="P154" s="421">
        <f>IFERROR(HLOOKUP('C.Recicladores'!C120,Referencias!C166:E171,3,0),0)</f>
        <v>0</v>
      </c>
      <c r="Q154" s="248"/>
      <c r="R154" s="293"/>
      <c r="S154" s="247"/>
    </row>
    <row r="155" spans="2:19" ht="30.75" customHeight="1" x14ac:dyDescent="0.25">
      <c r="B155" s="246"/>
      <c r="C155" s="292"/>
      <c r="D155" s="248"/>
      <c r="E155" s="248"/>
      <c r="F155" s="248"/>
      <c r="G155" s="248"/>
      <c r="H155" s="248"/>
      <c r="I155" s="248"/>
      <c r="J155" s="248"/>
      <c r="K155" s="923" t="str">
        <f>+IF('C.Recicladores'!C105=TRUE,"Número de supervisores por cada 20 operarios", "Cantidad de supervisores por centro")</f>
        <v>Cantidad de supervisores por centro</v>
      </c>
      <c r="L155" s="923"/>
      <c r="M155" s="924"/>
      <c r="N155" s="673"/>
      <c r="O155" s="233"/>
      <c r="P155" s="353">
        <f>IFERROR(IF('C.Recicladores'!C105=FALSE,HLOOKUP('C.Recicladores'!C120,Referencias!C166:E171,4,0),HLOOKUP('C.Recicladores'!C120,Referencias!C120:E133,14,0)),0)</f>
        <v>0</v>
      </c>
      <c r="Q155" s="248"/>
      <c r="R155" s="293"/>
      <c r="S155" s="247"/>
    </row>
    <row r="156" spans="2:19" x14ac:dyDescent="0.25">
      <c r="B156" s="246"/>
      <c r="C156" s="292"/>
      <c r="D156" s="248"/>
      <c r="E156" s="248"/>
      <c r="F156" s="248"/>
      <c r="G156" s="248"/>
      <c r="H156" s="248"/>
      <c r="I156" s="248"/>
      <c r="J156" s="248"/>
      <c r="K156" s="410"/>
      <c r="L156" s="410"/>
      <c r="M156" s="410"/>
      <c r="N156" s="248"/>
      <c r="O156" s="248"/>
      <c r="P156" s="248"/>
      <c r="Q156" s="248"/>
      <c r="R156" s="293"/>
      <c r="S156" s="247"/>
    </row>
    <row r="157" spans="2:19" x14ac:dyDescent="0.25">
      <c r="B157" s="246"/>
      <c r="C157" s="292"/>
      <c r="D157" s="248"/>
      <c r="E157" s="330" t="s">
        <v>440</v>
      </c>
      <c r="F157" s="254"/>
      <c r="G157" s="248"/>
      <c r="H157" s="248"/>
      <c r="I157" s="248"/>
      <c r="J157" s="248"/>
      <c r="K157" s="409" t="s">
        <v>520</v>
      </c>
      <c r="L157" s="410"/>
      <c r="M157" s="410"/>
      <c r="N157" s="248"/>
      <c r="O157" s="673"/>
      <c r="P157" s="353">
        <f>+HLOOKUP('C.Recicladores'!C120,Referencias!C166:E171,5,0)</f>
        <v>1</v>
      </c>
      <c r="Q157" s="248"/>
      <c r="R157" s="293"/>
      <c r="S157" s="247"/>
    </row>
    <row r="158" spans="2:19" x14ac:dyDescent="0.25">
      <c r="B158" s="246"/>
      <c r="C158" s="292"/>
      <c r="D158" s="248"/>
      <c r="E158" s="256" t="s">
        <v>162</v>
      </c>
      <c r="F158" s="254"/>
      <c r="G158" s="233"/>
      <c r="H158" s="248"/>
      <c r="I158" s="248"/>
      <c r="J158" s="248"/>
      <c r="K158" s="410" t="s">
        <v>347</v>
      </c>
      <c r="L158" s="410"/>
      <c r="M158" s="410"/>
      <c r="N158" s="248"/>
      <c r="O158" s="673"/>
      <c r="P158" s="353">
        <f>+Referencias!C104</f>
        <v>26</v>
      </c>
      <c r="Q158" s="248"/>
      <c r="R158" s="293"/>
      <c r="S158" s="247"/>
    </row>
    <row r="159" spans="2:19" x14ac:dyDescent="0.25">
      <c r="B159" s="246"/>
      <c r="C159" s="292"/>
      <c r="D159" s="248"/>
      <c r="E159" s="256" t="s">
        <v>163</v>
      </c>
      <c r="F159" s="254"/>
      <c r="G159" s="233"/>
      <c r="H159" s="248"/>
      <c r="I159" s="248"/>
      <c r="J159" s="248"/>
      <c r="K159" s="410" t="s">
        <v>517</v>
      </c>
      <c r="L159" s="410"/>
      <c r="M159" s="410"/>
      <c r="N159" s="248"/>
      <c r="O159" s="673"/>
      <c r="P159" s="353">
        <f>+IF(G149&lt;1501,1,IF(G149&lt;40000,2,3))</f>
        <v>1</v>
      </c>
      <c r="Q159" s="248"/>
      <c r="R159" s="293"/>
      <c r="S159" s="247"/>
    </row>
    <row r="160" spans="2:19" x14ac:dyDescent="0.25">
      <c r="B160" s="246"/>
      <c r="C160" s="292"/>
      <c r="D160" s="248"/>
      <c r="E160" s="248"/>
      <c r="F160" s="248"/>
      <c r="G160" s="248"/>
      <c r="H160" s="248"/>
      <c r="I160" s="248"/>
      <c r="J160" s="248"/>
      <c r="K160" s="410" t="s">
        <v>100</v>
      </c>
      <c r="L160" s="410"/>
      <c r="M160" s="410"/>
      <c r="N160" s="248"/>
      <c r="O160" s="673"/>
      <c r="P160" s="353">
        <f>+Referencias!C106</f>
        <v>8</v>
      </c>
      <c r="Q160" s="248"/>
      <c r="R160" s="293"/>
      <c r="S160" s="247"/>
    </row>
    <row r="161" spans="2:19" x14ac:dyDescent="0.25">
      <c r="B161" s="246"/>
      <c r="C161" s="296"/>
      <c r="D161" s="297"/>
      <c r="E161" s="297"/>
      <c r="F161" s="297"/>
      <c r="G161" s="297"/>
      <c r="H161" s="297"/>
      <c r="I161" s="297"/>
      <c r="J161" s="297"/>
      <c r="K161" s="248"/>
      <c r="L161" s="248"/>
      <c r="M161" s="248"/>
      <c r="N161" s="248"/>
      <c r="O161" s="248"/>
      <c r="P161" s="248"/>
      <c r="Q161" s="248"/>
      <c r="R161" s="298"/>
      <c r="S161" s="247"/>
    </row>
    <row r="162" spans="2:19" ht="9" customHeight="1" x14ac:dyDescent="0.25">
      <c r="B162" s="246"/>
      <c r="C162" s="248"/>
      <c r="D162" s="248"/>
      <c r="E162" s="248"/>
      <c r="F162" s="248"/>
      <c r="G162" s="248"/>
      <c r="H162" s="248"/>
      <c r="I162" s="248"/>
      <c r="J162" s="248"/>
      <c r="K162" s="290"/>
      <c r="L162" s="290"/>
      <c r="M162" s="290"/>
      <c r="N162" s="290"/>
      <c r="O162" s="290"/>
      <c r="P162" s="290"/>
      <c r="Q162" s="290"/>
      <c r="R162" s="248"/>
      <c r="S162" s="247"/>
    </row>
    <row r="163" spans="2:19" ht="12" customHeight="1" x14ac:dyDescent="0.25">
      <c r="B163" s="246"/>
      <c r="C163" s="248"/>
      <c r="D163" s="248"/>
      <c r="E163" s="248"/>
      <c r="F163" s="248"/>
      <c r="G163" s="248"/>
      <c r="H163" s="248"/>
      <c r="I163" s="248"/>
      <c r="J163" s="248"/>
      <c r="K163" s="248"/>
      <c r="L163" s="248"/>
      <c r="M163" s="248"/>
      <c r="N163" s="248"/>
      <c r="O163" s="248"/>
      <c r="P163" s="248"/>
      <c r="Q163" s="248"/>
      <c r="R163" s="248"/>
      <c r="S163" s="247"/>
    </row>
    <row r="164" spans="2:19" x14ac:dyDescent="0.25">
      <c r="B164" s="246"/>
      <c r="C164" s="289"/>
      <c r="D164" s="290"/>
      <c r="E164" s="290"/>
      <c r="F164" s="290"/>
      <c r="G164" s="290"/>
      <c r="H164" s="290"/>
      <c r="I164" s="290"/>
      <c r="J164" s="290"/>
      <c r="K164" s="290"/>
      <c r="L164" s="290"/>
      <c r="M164" s="290"/>
      <c r="N164" s="290"/>
      <c r="O164" s="290"/>
      <c r="P164" s="290"/>
      <c r="Q164" s="290"/>
      <c r="R164" s="291"/>
      <c r="S164" s="247"/>
    </row>
    <row r="165" spans="2:19" ht="18.75" x14ac:dyDescent="0.25">
      <c r="B165" s="246"/>
      <c r="C165" s="292"/>
      <c r="D165" s="248"/>
      <c r="E165" s="936" t="s">
        <v>117</v>
      </c>
      <c r="F165" s="937"/>
      <c r="G165" s="937"/>
      <c r="H165" s="937"/>
      <c r="I165" s="937"/>
      <c r="J165" s="937"/>
      <c r="K165" s="937"/>
      <c r="L165" s="937"/>
      <c r="M165" s="937"/>
      <c r="N165" s="937"/>
      <c r="O165" s="937"/>
      <c r="P165" s="938"/>
      <c r="Q165" s="299"/>
      <c r="R165" s="293"/>
      <c r="S165" s="247"/>
    </row>
    <row r="166" spans="2:19" x14ac:dyDescent="0.25">
      <c r="B166" s="246"/>
      <c r="C166" s="292"/>
      <c r="D166" s="248"/>
      <c r="E166" s="248"/>
      <c r="F166" s="248"/>
      <c r="G166" s="248"/>
      <c r="H166" s="248"/>
      <c r="I166" s="248"/>
      <c r="J166" s="248"/>
      <c r="K166" s="248"/>
      <c r="L166" s="248"/>
      <c r="M166" s="248"/>
      <c r="N166" s="248"/>
      <c r="O166" s="248"/>
      <c r="P166" s="248"/>
      <c r="Q166" s="248"/>
      <c r="R166" s="293"/>
      <c r="S166" s="247"/>
    </row>
    <row r="167" spans="2:19" x14ac:dyDescent="0.25">
      <c r="B167" s="246"/>
      <c r="C167" s="292"/>
      <c r="D167" s="248"/>
      <c r="E167" s="934" t="s">
        <v>436</v>
      </c>
      <c r="F167" s="934"/>
      <c r="G167" s="934"/>
      <c r="H167" s="934"/>
      <c r="I167" s="934"/>
      <c r="J167" s="934"/>
      <c r="K167" s="934"/>
      <c r="L167" s="934"/>
      <c r="M167" s="934"/>
      <c r="N167" s="934"/>
      <c r="O167" s="934"/>
      <c r="P167" s="934"/>
      <c r="Q167" s="248"/>
      <c r="R167" s="293"/>
      <c r="S167" s="247"/>
    </row>
    <row r="168" spans="2:19" x14ac:dyDescent="0.25">
      <c r="B168" s="246"/>
      <c r="C168" s="292"/>
      <c r="D168" s="248"/>
      <c r="E168" s="248"/>
      <c r="F168" s="248"/>
      <c r="G168" s="248"/>
      <c r="H168" s="248"/>
      <c r="I168" s="248"/>
      <c r="J168" s="248"/>
      <c r="K168" s="248"/>
      <c r="L168" s="248"/>
      <c r="M168" s="248"/>
      <c r="N168" s="248"/>
      <c r="O168" s="248"/>
      <c r="P168" s="248"/>
      <c r="Q168" s="248"/>
      <c r="R168" s="293"/>
      <c r="S168" s="247"/>
    </row>
    <row r="169" spans="2:19" ht="45" customHeight="1" x14ac:dyDescent="0.25">
      <c r="B169" s="246"/>
      <c r="C169" s="292"/>
      <c r="D169" s="248"/>
      <c r="E169" s="248"/>
      <c r="F169" s="930" t="s">
        <v>136</v>
      </c>
      <c r="G169" s="930"/>
      <c r="H169" s="930"/>
      <c r="I169" s="930"/>
      <c r="J169" s="930"/>
      <c r="K169" s="930"/>
      <c r="L169" s="930"/>
      <c r="M169" s="331" t="s">
        <v>160</v>
      </c>
      <c r="N169" s="331" t="s">
        <v>159</v>
      </c>
      <c r="O169" s="331" t="s">
        <v>161</v>
      </c>
      <c r="P169" s="248"/>
      <c r="Q169" s="248"/>
      <c r="R169" s="293"/>
      <c r="S169" s="247"/>
    </row>
    <row r="170" spans="2:19" x14ac:dyDescent="0.25">
      <c r="B170" s="246"/>
      <c r="C170" s="292"/>
      <c r="D170" s="248"/>
      <c r="E170" s="248"/>
      <c r="F170" s="996" t="s">
        <v>128</v>
      </c>
      <c r="G170" s="996"/>
      <c r="H170" s="996"/>
      <c r="I170" s="996"/>
      <c r="J170" s="996"/>
      <c r="K170" s="996"/>
      <c r="L170" s="996"/>
      <c r="M170" s="235"/>
      <c r="N170" s="235"/>
      <c r="O170" s="235"/>
      <c r="P170" s="248"/>
      <c r="Q170" s="248"/>
      <c r="R170" s="293"/>
      <c r="S170" s="247"/>
    </row>
    <row r="171" spans="2:19" x14ac:dyDescent="0.25">
      <c r="B171" s="246"/>
      <c r="C171" s="292"/>
      <c r="D171" s="248"/>
      <c r="E171" s="248"/>
      <c r="F171" s="996" t="s">
        <v>129</v>
      </c>
      <c r="G171" s="996"/>
      <c r="H171" s="996"/>
      <c r="I171" s="996"/>
      <c r="J171" s="996"/>
      <c r="K171" s="996"/>
      <c r="L171" s="996"/>
      <c r="M171" s="235"/>
      <c r="N171" s="235"/>
      <c r="O171" s="235"/>
      <c r="P171" s="248"/>
      <c r="Q171" s="248"/>
      <c r="R171" s="293"/>
      <c r="S171" s="247"/>
    </row>
    <row r="172" spans="2:19" x14ac:dyDescent="0.25">
      <c r="B172" s="246"/>
      <c r="C172" s="292"/>
      <c r="D172" s="248"/>
      <c r="E172" s="248"/>
      <c r="F172" s="996" t="s">
        <v>130</v>
      </c>
      <c r="G172" s="996"/>
      <c r="H172" s="996"/>
      <c r="I172" s="996"/>
      <c r="J172" s="996"/>
      <c r="K172" s="996"/>
      <c r="L172" s="996"/>
      <c r="M172" s="674"/>
      <c r="N172" s="236"/>
      <c r="O172" s="236"/>
      <c r="P172" s="248"/>
      <c r="Q172" s="248"/>
      <c r="R172" s="293"/>
      <c r="S172" s="247"/>
    </row>
    <row r="173" spans="2:19" x14ac:dyDescent="0.25">
      <c r="B173" s="246"/>
      <c r="C173" s="292"/>
      <c r="D173" s="248"/>
      <c r="E173" s="248"/>
      <c r="F173" s="996" t="s">
        <v>131</v>
      </c>
      <c r="G173" s="996"/>
      <c r="H173" s="996"/>
      <c r="I173" s="996"/>
      <c r="J173" s="996"/>
      <c r="K173" s="996"/>
      <c r="L173" s="996"/>
      <c r="M173" s="674"/>
      <c r="N173" s="236"/>
      <c r="O173" s="236"/>
      <c r="P173" s="248"/>
      <c r="Q173" s="248"/>
      <c r="R173" s="293"/>
      <c r="S173" s="247"/>
    </row>
    <row r="174" spans="2:19" x14ac:dyDescent="0.25">
      <c r="B174" s="246"/>
      <c r="C174" s="292"/>
      <c r="D174" s="248"/>
      <c r="E174" s="248"/>
      <c r="F174" s="996" t="s">
        <v>132</v>
      </c>
      <c r="G174" s="996"/>
      <c r="H174" s="996"/>
      <c r="I174" s="996"/>
      <c r="J174" s="996"/>
      <c r="K174" s="996"/>
      <c r="L174" s="996"/>
      <c r="M174" s="674"/>
      <c r="N174" s="236"/>
      <c r="O174" s="236"/>
      <c r="P174" s="248"/>
      <c r="Q174" s="248"/>
      <c r="R174" s="293"/>
      <c r="S174" s="247"/>
    </row>
    <row r="175" spans="2:19" x14ac:dyDescent="0.25">
      <c r="B175" s="246"/>
      <c r="C175" s="292"/>
      <c r="D175" s="248"/>
      <c r="E175" s="248"/>
      <c r="F175" s="996" t="s">
        <v>133</v>
      </c>
      <c r="G175" s="996"/>
      <c r="H175" s="996"/>
      <c r="I175" s="996"/>
      <c r="J175" s="996"/>
      <c r="K175" s="996"/>
      <c r="L175" s="996"/>
      <c r="M175" s="674"/>
      <c r="N175" s="236"/>
      <c r="O175" s="236"/>
      <c r="P175" s="248"/>
      <c r="Q175" s="248"/>
      <c r="R175" s="293"/>
      <c r="S175" s="247"/>
    </row>
    <row r="176" spans="2:19" ht="15" customHeight="1" x14ac:dyDescent="0.25">
      <c r="B176" s="246"/>
      <c r="C176" s="292"/>
      <c r="D176" s="248"/>
      <c r="E176" s="248"/>
      <c r="F176" s="996" t="s">
        <v>203</v>
      </c>
      <c r="G176" s="996"/>
      <c r="H176" s="996"/>
      <c r="I176" s="996"/>
      <c r="J176" s="996"/>
      <c r="K176" s="996"/>
      <c r="L176" s="996"/>
      <c r="M176" s="235"/>
      <c r="N176" s="235"/>
      <c r="O176" s="235"/>
      <c r="P176" s="248"/>
      <c r="Q176" s="248"/>
      <c r="R176" s="293"/>
      <c r="S176" s="247"/>
    </row>
    <row r="177" spans="2:19" x14ac:dyDescent="0.25">
      <c r="B177" s="246"/>
      <c r="C177" s="292"/>
      <c r="D177" s="248"/>
      <c r="E177" s="248"/>
      <c r="F177" s="248"/>
      <c r="G177" s="248"/>
      <c r="H177" s="248"/>
      <c r="I177" s="248"/>
      <c r="J177" s="248"/>
      <c r="K177" s="248"/>
      <c r="L177" s="248"/>
      <c r="M177" s="248"/>
      <c r="N177" s="248"/>
      <c r="O177" s="248"/>
      <c r="P177" s="248"/>
      <c r="Q177" s="248"/>
      <c r="R177" s="293"/>
      <c r="S177" s="247"/>
    </row>
    <row r="178" spans="2:19" x14ac:dyDescent="0.25">
      <c r="B178" s="246"/>
      <c r="C178" s="292"/>
      <c r="D178" s="248"/>
      <c r="E178" s="934" t="s">
        <v>503</v>
      </c>
      <c r="F178" s="934"/>
      <c r="G178" s="934"/>
      <c r="H178" s="934"/>
      <c r="I178" s="934"/>
      <c r="J178" s="934"/>
      <c r="K178" s="934"/>
      <c r="L178" s="934"/>
      <c r="M178" s="934"/>
      <c r="N178" s="934"/>
      <c r="O178" s="934"/>
      <c r="P178" s="934"/>
      <c r="Q178" s="248"/>
      <c r="R178" s="293"/>
      <c r="S178" s="247"/>
    </row>
    <row r="179" spans="2:19" x14ac:dyDescent="0.25">
      <c r="B179" s="246"/>
      <c r="C179" s="292"/>
      <c r="D179" s="248"/>
      <c r="E179" s="248"/>
      <c r="F179" s="248"/>
      <c r="G179" s="248"/>
      <c r="H179" s="248"/>
      <c r="I179" s="248"/>
      <c r="J179" s="248"/>
      <c r="K179" s="248"/>
      <c r="L179" s="248"/>
      <c r="M179" s="248"/>
      <c r="N179" s="248"/>
      <c r="O179" s="248"/>
      <c r="P179" s="248"/>
      <c r="Q179" s="248"/>
      <c r="R179" s="293"/>
      <c r="S179" s="247"/>
    </row>
    <row r="180" spans="2:19" ht="55.9" customHeight="1" x14ac:dyDescent="0.25">
      <c r="B180" s="246"/>
      <c r="C180" s="292"/>
      <c r="D180" s="248"/>
      <c r="E180" s="248"/>
      <c r="F180" s="248"/>
      <c r="G180" s="925" t="s">
        <v>363</v>
      </c>
      <c r="H180" s="926"/>
      <c r="I180" s="927"/>
      <c r="J180" s="925" t="s">
        <v>125</v>
      </c>
      <c r="K180" s="926"/>
      <c r="L180" s="927"/>
      <c r="M180" s="295" t="s">
        <v>424</v>
      </c>
      <c r="N180" s="295" t="s">
        <v>137</v>
      </c>
      <c r="O180" s="305"/>
      <c r="P180" s="248"/>
      <c r="Q180" s="248"/>
      <c r="R180" s="293"/>
      <c r="S180" s="247"/>
    </row>
    <row r="181" spans="2:19" ht="19.5" customHeight="1" x14ac:dyDescent="0.25">
      <c r="B181" s="246"/>
      <c r="C181" s="292"/>
      <c r="D181" s="248"/>
      <c r="E181" s="248"/>
      <c r="F181" s="248"/>
      <c r="G181" s="928" t="s">
        <v>160</v>
      </c>
      <c r="H181" s="928"/>
      <c r="I181" s="928"/>
      <c r="J181" s="933"/>
      <c r="K181" s="933"/>
      <c r="L181" s="933"/>
      <c r="M181" s="314"/>
      <c r="N181" s="314"/>
      <c r="O181" s="248"/>
      <c r="P181" s="248"/>
      <c r="Q181" s="248"/>
      <c r="R181" s="293"/>
      <c r="S181" s="247"/>
    </row>
    <row r="182" spans="2:19" ht="19.5" customHeight="1" x14ac:dyDescent="0.25">
      <c r="B182" s="246"/>
      <c r="C182" s="292"/>
      <c r="D182" s="248"/>
      <c r="E182" s="248"/>
      <c r="F182" s="248"/>
      <c r="G182" s="928" t="s">
        <v>159</v>
      </c>
      <c r="H182" s="928"/>
      <c r="I182" s="928"/>
      <c r="J182" s="933"/>
      <c r="K182" s="933"/>
      <c r="L182" s="933"/>
      <c r="M182" s="314"/>
      <c r="N182" s="314"/>
      <c r="O182" s="248"/>
      <c r="P182" s="248"/>
      <c r="Q182" s="248"/>
      <c r="R182" s="293"/>
      <c r="S182" s="247"/>
    </row>
    <row r="183" spans="2:19" ht="19.5" customHeight="1" x14ac:dyDescent="0.25">
      <c r="B183" s="246"/>
      <c r="C183" s="292"/>
      <c r="D183" s="248"/>
      <c r="E183" s="248"/>
      <c r="F183" s="248"/>
      <c r="G183" s="929" t="s">
        <v>161</v>
      </c>
      <c r="H183" s="929"/>
      <c r="I183" s="929"/>
      <c r="J183" s="933"/>
      <c r="K183" s="933"/>
      <c r="L183" s="933"/>
      <c r="M183" s="314"/>
      <c r="N183" s="314"/>
      <c r="O183" s="248"/>
      <c r="P183" s="248"/>
      <c r="Q183" s="248"/>
      <c r="R183" s="293"/>
      <c r="S183" s="247"/>
    </row>
    <row r="184" spans="2:19" x14ac:dyDescent="0.25">
      <c r="B184" s="246"/>
      <c r="C184" s="296"/>
      <c r="D184" s="297"/>
      <c r="E184" s="297"/>
      <c r="F184" s="297"/>
      <c r="G184" s="922"/>
      <c r="H184" s="922"/>
      <c r="I184" s="922"/>
      <c r="J184" s="922"/>
      <c r="K184" s="922"/>
      <c r="L184" s="922"/>
      <c r="M184" s="297"/>
      <c r="N184" s="297"/>
      <c r="O184" s="297"/>
      <c r="P184" s="297"/>
      <c r="Q184" s="297"/>
      <c r="R184" s="298"/>
      <c r="S184" s="247"/>
    </row>
    <row r="185" spans="2:19" ht="9" customHeight="1" x14ac:dyDescent="0.25">
      <c r="B185" s="246"/>
      <c r="C185" s="248"/>
      <c r="D185" s="248"/>
      <c r="E185" s="248"/>
      <c r="F185" s="248"/>
      <c r="G185" s="248"/>
      <c r="H185" s="248"/>
      <c r="I185" s="248"/>
      <c r="J185" s="248"/>
      <c r="K185" s="248"/>
      <c r="L185" s="248"/>
      <c r="M185" s="248"/>
      <c r="N185" s="248"/>
      <c r="O185" s="248"/>
      <c r="P185" s="248"/>
      <c r="Q185" s="248"/>
      <c r="R185" s="248"/>
      <c r="S185" s="247"/>
    </row>
    <row r="186" spans="2:19" ht="8.25" customHeight="1" x14ac:dyDescent="0.25">
      <c r="B186" s="246"/>
      <c r="C186" s="248"/>
      <c r="D186" s="248"/>
      <c r="E186" s="248"/>
      <c r="F186" s="248"/>
      <c r="G186" s="248"/>
      <c r="H186" s="248"/>
      <c r="I186" s="248"/>
      <c r="J186" s="248"/>
      <c r="K186" s="248"/>
      <c r="L186" s="248"/>
      <c r="M186" s="248"/>
      <c r="N186" s="248"/>
      <c r="O186" s="248"/>
      <c r="P186" s="248"/>
      <c r="Q186" s="248"/>
      <c r="R186" s="248"/>
      <c r="S186" s="247"/>
    </row>
    <row r="187" spans="2:19" x14ac:dyDescent="0.25">
      <c r="B187" s="246"/>
      <c r="C187" s="289"/>
      <c r="D187" s="290"/>
      <c r="E187" s="290"/>
      <c r="F187" s="290"/>
      <c r="G187" s="290"/>
      <c r="H187" s="290"/>
      <c r="I187" s="290"/>
      <c r="J187" s="290"/>
      <c r="K187" s="290"/>
      <c r="L187" s="290"/>
      <c r="M187" s="290"/>
      <c r="N187" s="290"/>
      <c r="O187" s="290"/>
      <c r="P187" s="290"/>
      <c r="Q187" s="290"/>
      <c r="R187" s="291"/>
      <c r="S187" s="247"/>
    </row>
    <row r="188" spans="2:19" ht="18.75" x14ac:dyDescent="0.25">
      <c r="B188" s="246"/>
      <c r="C188" s="292"/>
      <c r="D188" s="248"/>
      <c r="E188" s="936" t="s">
        <v>164</v>
      </c>
      <c r="F188" s="937"/>
      <c r="G188" s="937"/>
      <c r="H188" s="937"/>
      <c r="I188" s="937"/>
      <c r="J188" s="937"/>
      <c r="K188" s="937"/>
      <c r="L188" s="937"/>
      <c r="M188" s="937"/>
      <c r="N188" s="937"/>
      <c r="O188" s="937"/>
      <c r="P188" s="938"/>
      <c r="Q188" s="299"/>
      <c r="R188" s="293"/>
      <c r="S188" s="247"/>
    </row>
    <row r="189" spans="2:19" x14ac:dyDescent="0.25">
      <c r="B189" s="246"/>
      <c r="C189" s="292"/>
      <c r="D189" s="248"/>
      <c r="E189" s="248"/>
      <c r="F189" s="248"/>
      <c r="G189" s="248"/>
      <c r="H189" s="248"/>
      <c r="I189" s="248"/>
      <c r="J189" s="248"/>
      <c r="K189" s="248"/>
      <c r="L189" s="248"/>
      <c r="M189" s="248"/>
      <c r="N189" s="248"/>
      <c r="O189" s="248"/>
      <c r="P189" s="248"/>
      <c r="Q189" s="248"/>
      <c r="R189" s="293"/>
      <c r="S189" s="247"/>
    </row>
    <row r="190" spans="2:19" x14ac:dyDescent="0.25">
      <c r="B190" s="246"/>
      <c r="C190" s="292"/>
      <c r="D190" s="873" t="s">
        <v>679</v>
      </c>
      <c r="E190" s="873"/>
      <c r="F190" s="873"/>
      <c r="G190" s="873"/>
      <c r="H190" s="873"/>
      <c r="I190" s="873"/>
      <c r="J190" s="873"/>
      <c r="K190" s="873"/>
      <c r="L190" s="873"/>
      <c r="M190" s="873"/>
      <c r="N190" s="873"/>
      <c r="O190" s="873"/>
      <c r="P190" s="873"/>
      <c r="Q190" s="248"/>
      <c r="R190" s="293"/>
      <c r="S190" s="247"/>
    </row>
    <row r="191" spans="2:19" x14ac:dyDescent="0.25">
      <c r="B191" s="246"/>
      <c r="C191" s="292"/>
      <c r="D191" s="248"/>
      <c r="E191" s="248"/>
      <c r="F191" s="248"/>
      <c r="G191" s="248"/>
      <c r="H191" s="248"/>
      <c r="I191" s="248"/>
      <c r="J191" s="248"/>
      <c r="K191" s="248"/>
      <c r="L191" s="248"/>
      <c r="M191" s="248"/>
      <c r="N191" s="248"/>
      <c r="O191" s="248"/>
      <c r="P191" s="248"/>
      <c r="Q191" s="248"/>
      <c r="R191" s="293"/>
      <c r="S191" s="247"/>
    </row>
    <row r="192" spans="2:19" ht="29.25" customHeight="1" x14ac:dyDescent="0.25">
      <c r="B192" s="246"/>
      <c r="C192" s="292"/>
      <c r="D192" s="998" t="s">
        <v>145</v>
      </c>
      <c r="E192" s="999"/>
      <c r="F192" s="921" t="s">
        <v>165</v>
      </c>
      <c r="G192" s="980" t="s">
        <v>103</v>
      </c>
      <c r="H192" s="981"/>
      <c r="I192" s="981"/>
      <c r="J192" s="980" t="s">
        <v>111</v>
      </c>
      <c r="K192" s="981"/>
      <c r="L192" s="981"/>
      <c r="M192" s="981"/>
      <c r="N192" s="921" t="s">
        <v>125</v>
      </c>
      <c r="O192" s="921" t="s">
        <v>424</v>
      </c>
      <c r="P192" s="921" t="s">
        <v>137</v>
      </c>
      <c r="Q192" s="248"/>
      <c r="R192" s="293"/>
      <c r="S192" s="247"/>
    </row>
    <row r="193" spans="2:19" ht="45" customHeight="1" x14ac:dyDescent="0.25">
      <c r="B193" s="246"/>
      <c r="C193" s="292"/>
      <c r="D193" s="955"/>
      <c r="E193" s="957"/>
      <c r="F193" s="921"/>
      <c r="G193" s="332" t="s">
        <v>110</v>
      </c>
      <c r="H193" s="931" t="s">
        <v>198</v>
      </c>
      <c r="I193" s="932"/>
      <c r="J193" s="931" t="s">
        <v>199</v>
      </c>
      <c r="K193" s="962"/>
      <c r="L193" s="932"/>
      <c r="M193" s="333" t="s">
        <v>198</v>
      </c>
      <c r="N193" s="921"/>
      <c r="O193" s="921"/>
      <c r="P193" s="921"/>
      <c r="Q193" s="248"/>
      <c r="R193" s="293"/>
      <c r="S193" s="247"/>
    </row>
    <row r="194" spans="2:19" ht="21.75" customHeight="1" x14ac:dyDescent="0.25">
      <c r="B194" s="246"/>
      <c r="C194" s="292"/>
      <c r="D194" s="411" t="s">
        <v>166</v>
      </c>
      <c r="E194" s="415"/>
      <c r="F194" s="356" t="s">
        <v>167</v>
      </c>
      <c r="G194" s="675"/>
      <c r="H194" s="914"/>
      <c r="I194" s="915"/>
      <c r="J194" s="918">
        <f>+IFERROR(HLOOKUP('C.Recicladores'!$C$120,Referencias!$C$136:$Q$163,Referencias!A137,0),0)</f>
        <v>1</v>
      </c>
      <c r="K194" s="919"/>
      <c r="L194" s="920"/>
      <c r="M194" s="357">
        <f>+IFERROR(HLOOKUP('C.Recicladores'!$C$121,Referencias!$C$136:$Q$163,Referencias!A137,0),0)</f>
        <v>0</v>
      </c>
      <c r="N194" s="334"/>
      <c r="O194" s="334"/>
      <c r="P194" s="334"/>
      <c r="Q194" s="248"/>
      <c r="R194" s="293"/>
      <c r="S194" s="247"/>
    </row>
    <row r="195" spans="2:19" x14ac:dyDescent="0.25">
      <c r="B195" s="246"/>
      <c r="C195" s="292"/>
      <c r="D195" s="417" t="s">
        <v>168</v>
      </c>
      <c r="E195" s="359"/>
      <c r="F195" s="416"/>
      <c r="G195" s="676"/>
      <c r="H195" s="916"/>
      <c r="I195" s="917"/>
      <c r="J195" s="358"/>
      <c r="K195" s="359"/>
      <c r="L195" s="360"/>
      <c r="M195" s="358"/>
      <c r="N195" s="237"/>
      <c r="O195" s="237"/>
      <c r="P195" s="335"/>
      <c r="Q195" s="248"/>
      <c r="R195" s="293"/>
      <c r="S195" s="247"/>
    </row>
    <row r="196" spans="2:19" ht="21.75" customHeight="1" x14ac:dyDescent="0.25">
      <c r="B196" s="246"/>
      <c r="C196" s="292"/>
      <c r="D196" s="411" t="s">
        <v>169</v>
      </c>
      <c r="E196" s="415"/>
      <c r="F196" s="356" t="s">
        <v>170</v>
      </c>
      <c r="G196" s="675"/>
      <c r="H196" s="914"/>
      <c r="I196" s="915"/>
      <c r="J196" s="918">
        <f>+IFERROR(HLOOKUP('C.Recicladores'!$C$120,Referencias!$C$136:$Q$163,Referencias!A139,0),0)</f>
        <v>0</v>
      </c>
      <c r="K196" s="919"/>
      <c r="L196" s="920"/>
      <c r="M196" s="357">
        <f>+IFERROR(HLOOKUP('C.Recicladores'!$C$121,Referencias!$C$136:$Q$163,Referencias!A139,0),0)</f>
        <v>0</v>
      </c>
      <c r="N196" s="336"/>
      <c r="O196" s="336"/>
      <c r="P196" s="336"/>
      <c r="Q196" s="248"/>
      <c r="R196" s="293"/>
      <c r="S196" s="247"/>
    </row>
    <row r="197" spans="2:19" ht="21.75" customHeight="1" x14ac:dyDescent="0.25">
      <c r="B197" s="246"/>
      <c r="C197" s="292"/>
      <c r="D197" s="411" t="s">
        <v>171</v>
      </c>
      <c r="E197" s="415"/>
      <c r="F197" s="356" t="s">
        <v>170</v>
      </c>
      <c r="G197" s="680"/>
      <c r="H197" s="914"/>
      <c r="I197" s="915"/>
      <c r="J197" s="918">
        <f>+IFERROR(HLOOKUP('C.Recicladores'!$C$120,Referencias!$C$136:$Q$163,Referencias!A140,0),0)</f>
        <v>0</v>
      </c>
      <c r="K197" s="919"/>
      <c r="L197" s="920"/>
      <c r="M197" s="357">
        <f>+IFERROR(HLOOKUP('C.Recicladores'!$C$121,Referencias!$C$136:$Q$163,Referencias!A140,0),0)</f>
        <v>0</v>
      </c>
      <c r="N197" s="336"/>
      <c r="O197" s="336"/>
      <c r="P197" s="336"/>
      <c r="Q197" s="248"/>
      <c r="R197" s="293"/>
      <c r="S197" s="247"/>
    </row>
    <row r="198" spans="2:19" x14ac:dyDescent="0.25">
      <c r="B198" s="246"/>
      <c r="C198" s="292"/>
      <c r="D198" s="417" t="s">
        <v>172</v>
      </c>
      <c r="E198" s="359"/>
      <c r="F198" s="416"/>
      <c r="G198" s="676"/>
      <c r="H198" s="916"/>
      <c r="I198" s="917"/>
      <c r="J198" s="358"/>
      <c r="K198" s="359"/>
      <c r="L198" s="360"/>
      <c r="M198" s="358"/>
      <c r="N198" s="237"/>
      <c r="O198" s="237"/>
      <c r="P198" s="335"/>
      <c r="Q198" s="248"/>
      <c r="R198" s="293"/>
      <c r="S198" s="247"/>
    </row>
    <row r="199" spans="2:19" ht="21.75" customHeight="1" x14ac:dyDescent="0.25">
      <c r="B199" s="246"/>
      <c r="C199" s="292"/>
      <c r="D199" s="411" t="s">
        <v>173</v>
      </c>
      <c r="E199" s="415"/>
      <c r="F199" s="356" t="s">
        <v>174</v>
      </c>
      <c r="G199" s="675"/>
      <c r="H199" s="914"/>
      <c r="I199" s="915"/>
      <c r="J199" s="918">
        <f>+IFERROR(HLOOKUP('C.Recicladores'!$C$120,Referencias!$C$136:$Q$163,Referencias!A142,0),0)</f>
        <v>0</v>
      </c>
      <c r="K199" s="919"/>
      <c r="L199" s="920"/>
      <c r="M199" s="357">
        <f>+IFERROR(HLOOKUP('C.Recicladores'!$C$121,Referencias!$C$136:$Q$163,Referencias!A142,0),0)</f>
        <v>0</v>
      </c>
      <c r="N199" s="336"/>
      <c r="O199" s="336"/>
      <c r="P199" s="336"/>
      <c r="Q199" s="248"/>
      <c r="R199" s="293"/>
      <c r="S199" s="247"/>
    </row>
    <row r="200" spans="2:19" ht="21.75" customHeight="1" x14ac:dyDescent="0.25">
      <c r="B200" s="246"/>
      <c r="C200" s="292"/>
      <c r="D200" s="411" t="s">
        <v>175</v>
      </c>
      <c r="E200" s="415"/>
      <c r="F200" s="356" t="s">
        <v>174</v>
      </c>
      <c r="G200" s="675"/>
      <c r="H200" s="914"/>
      <c r="I200" s="915"/>
      <c r="J200" s="918">
        <f>+IFERROR(HLOOKUP('C.Recicladores'!$C$120,Referencias!$C$136:$Q$163,Referencias!A143,0),0)</f>
        <v>0</v>
      </c>
      <c r="K200" s="919"/>
      <c r="L200" s="920"/>
      <c r="M200" s="357">
        <f>+IFERROR(HLOOKUP('C.Recicladores'!$C$121,Referencias!$C$136:$Q$163,Referencias!A143,0),0)</f>
        <v>0</v>
      </c>
      <c r="N200" s="336"/>
      <c r="O200" s="336"/>
      <c r="P200" s="336"/>
      <c r="Q200" s="248"/>
      <c r="R200" s="293"/>
      <c r="S200" s="247"/>
    </row>
    <row r="201" spans="2:19" ht="21.75" customHeight="1" x14ac:dyDescent="0.25">
      <c r="B201" s="246"/>
      <c r="C201" s="292"/>
      <c r="D201" s="411" t="s">
        <v>176</v>
      </c>
      <c r="E201" s="415"/>
      <c r="F201" s="356" t="s">
        <v>174</v>
      </c>
      <c r="G201" s="675"/>
      <c r="H201" s="914"/>
      <c r="I201" s="915"/>
      <c r="J201" s="918">
        <f>+IFERROR(HLOOKUP('C.Recicladores'!$C$120,Referencias!$C$136:$Q$163,Referencias!A144,0),0)</f>
        <v>0</v>
      </c>
      <c r="K201" s="919"/>
      <c r="L201" s="920"/>
      <c r="M201" s="357">
        <f>+IFERROR(HLOOKUP('C.Recicladores'!$C$121,Referencias!$C$136:$Q$163,Referencias!A144,0),0)</f>
        <v>0</v>
      </c>
      <c r="N201" s="336"/>
      <c r="O201" s="336"/>
      <c r="P201" s="336"/>
      <c r="Q201" s="248"/>
      <c r="R201" s="293"/>
      <c r="S201" s="247"/>
    </row>
    <row r="202" spans="2:19" ht="21.75" customHeight="1" x14ac:dyDescent="0.25">
      <c r="B202" s="246"/>
      <c r="C202" s="292"/>
      <c r="D202" s="411" t="s">
        <v>177</v>
      </c>
      <c r="E202" s="415"/>
      <c r="F202" s="356" t="s">
        <v>174</v>
      </c>
      <c r="G202" s="675"/>
      <c r="H202" s="914"/>
      <c r="I202" s="915"/>
      <c r="J202" s="918">
        <f>+IFERROR(HLOOKUP('C.Recicladores'!$C$120,Referencias!$C$136:$Q$163,Referencias!A145,0),0)</f>
        <v>0</v>
      </c>
      <c r="K202" s="919"/>
      <c r="L202" s="920"/>
      <c r="M202" s="357">
        <f>+IFERROR(HLOOKUP('C.Recicladores'!$C$121,Referencias!$C$136:$Q$163,Referencias!A145,0),0)</f>
        <v>0</v>
      </c>
      <c r="N202" s="336"/>
      <c r="O202" s="336"/>
      <c r="P202" s="336"/>
      <c r="Q202" s="248"/>
      <c r="R202" s="293"/>
      <c r="S202" s="247"/>
    </row>
    <row r="203" spans="2:19" ht="21.75" customHeight="1" x14ac:dyDescent="0.25">
      <c r="B203" s="246"/>
      <c r="C203" s="292"/>
      <c r="D203" s="411" t="s">
        <v>178</v>
      </c>
      <c r="E203" s="415"/>
      <c r="F203" s="356" t="s">
        <v>174</v>
      </c>
      <c r="G203" s="675"/>
      <c r="H203" s="914"/>
      <c r="I203" s="915"/>
      <c r="J203" s="918">
        <f>+IFERROR(HLOOKUP('C.Recicladores'!$C$120,Referencias!$C$136:$Q$163,Referencias!A146,0),0)</f>
        <v>0</v>
      </c>
      <c r="K203" s="919"/>
      <c r="L203" s="920"/>
      <c r="M203" s="357">
        <f>+IFERROR(HLOOKUP('C.Recicladores'!$C$121,Referencias!$C$136:$Q$163,Referencias!A146,0),0)</f>
        <v>0</v>
      </c>
      <c r="N203" s="336"/>
      <c r="O203" s="336"/>
      <c r="P203" s="336"/>
      <c r="Q203" s="248"/>
      <c r="R203" s="293"/>
      <c r="S203" s="247"/>
    </row>
    <row r="204" spans="2:19" ht="21.75" customHeight="1" x14ac:dyDescent="0.25">
      <c r="B204" s="246"/>
      <c r="C204" s="292"/>
      <c r="D204" s="411" t="s">
        <v>179</v>
      </c>
      <c r="E204" s="415"/>
      <c r="F204" s="356" t="s">
        <v>180</v>
      </c>
      <c r="G204" s="675"/>
      <c r="H204" s="914"/>
      <c r="I204" s="915"/>
      <c r="J204" s="918">
        <f>+IFERROR(HLOOKUP('C.Recicladores'!$C$120,Referencias!$C$136:$Q$163,Referencias!A147,0),0)</f>
        <v>0</v>
      </c>
      <c r="K204" s="919"/>
      <c r="L204" s="920"/>
      <c r="M204" s="357">
        <f>+IFERROR(HLOOKUP('C.Recicladores'!$C$121,Referencias!$C$136:$Q$163,Referencias!A147,0),0)</f>
        <v>0</v>
      </c>
      <c r="N204" s="336"/>
      <c r="O204" s="336"/>
      <c r="P204" s="336"/>
      <c r="Q204" s="248"/>
      <c r="R204" s="293"/>
      <c r="S204" s="247"/>
    </row>
    <row r="205" spans="2:19" ht="21.75" customHeight="1" x14ac:dyDescent="0.25">
      <c r="B205" s="246"/>
      <c r="C205" s="292"/>
      <c r="D205" s="411" t="s">
        <v>181</v>
      </c>
      <c r="E205" s="415"/>
      <c r="F205" s="356" t="s">
        <v>174</v>
      </c>
      <c r="G205" s="675"/>
      <c r="H205" s="914"/>
      <c r="I205" s="915"/>
      <c r="J205" s="918">
        <f>+IFERROR(HLOOKUP('C.Recicladores'!$C$120,Referencias!$C$136:$Q$163,Referencias!A148,0),0)</f>
        <v>0</v>
      </c>
      <c r="K205" s="919"/>
      <c r="L205" s="920"/>
      <c r="M205" s="357">
        <f>+IFERROR(HLOOKUP('C.Recicladores'!$C$121,Referencias!$C$136:$Q$163,Referencias!A148,0),0)</f>
        <v>0</v>
      </c>
      <c r="N205" s="336"/>
      <c r="O205" s="336"/>
      <c r="P205" s="336"/>
      <c r="Q205" s="248"/>
      <c r="R205" s="293"/>
      <c r="S205" s="247"/>
    </row>
    <row r="206" spans="2:19" ht="21.75" customHeight="1" x14ac:dyDescent="0.25">
      <c r="B206" s="246"/>
      <c r="C206" s="292"/>
      <c r="D206" s="411" t="s">
        <v>182</v>
      </c>
      <c r="E206" s="415"/>
      <c r="F206" s="356" t="s">
        <v>174</v>
      </c>
      <c r="G206" s="675"/>
      <c r="H206" s="914"/>
      <c r="I206" s="915"/>
      <c r="J206" s="918">
        <f>+IFERROR(HLOOKUP('C.Recicladores'!$C$120,Referencias!$C$136:$Q$163,Referencias!A149,0),0)</f>
        <v>0</v>
      </c>
      <c r="K206" s="919"/>
      <c r="L206" s="920"/>
      <c r="M206" s="357">
        <f>+IFERROR(HLOOKUP('C.Recicladores'!$C$121,Referencias!$C$136:$Q$163,Referencias!A149,0),0)</f>
        <v>0</v>
      </c>
      <c r="N206" s="336"/>
      <c r="O206" s="336"/>
      <c r="P206" s="336"/>
      <c r="Q206" s="248"/>
      <c r="R206" s="293"/>
      <c r="S206" s="247"/>
    </row>
    <row r="207" spans="2:19" ht="21.75" customHeight="1" x14ac:dyDescent="0.25">
      <c r="B207" s="246"/>
      <c r="C207" s="292"/>
      <c r="D207" s="411" t="s">
        <v>183</v>
      </c>
      <c r="E207" s="415"/>
      <c r="F207" s="356" t="s">
        <v>174</v>
      </c>
      <c r="G207" s="675"/>
      <c r="H207" s="914"/>
      <c r="I207" s="915"/>
      <c r="J207" s="918">
        <f>+IFERROR(HLOOKUP('C.Recicladores'!$C$120,Referencias!$C$136:$Q$163,Referencias!A150,0),0)</f>
        <v>0</v>
      </c>
      <c r="K207" s="919"/>
      <c r="L207" s="920"/>
      <c r="M207" s="357">
        <f>+IFERROR(HLOOKUP('C.Recicladores'!$C$121,Referencias!$C$136:$Q$163,Referencias!A150,0),0)</f>
        <v>0</v>
      </c>
      <c r="N207" s="336"/>
      <c r="O207" s="336"/>
      <c r="P207" s="336"/>
      <c r="Q207" s="248"/>
      <c r="R207" s="293"/>
      <c r="S207" s="247"/>
    </row>
    <row r="208" spans="2:19" ht="21.75" customHeight="1" x14ac:dyDescent="0.25">
      <c r="B208" s="246"/>
      <c r="C208" s="292"/>
      <c r="D208" s="411" t="s">
        <v>184</v>
      </c>
      <c r="E208" s="415"/>
      <c r="F208" s="356" t="s">
        <v>174</v>
      </c>
      <c r="G208" s="675"/>
      <c r="H208" s="914"/>
      <c r="I208" s="915"/>
      <c r="J208" s="918">
        <f>+IFERROR(HLOOKUP('C.Recicladores'!$C$120,Referencias!$C$136:$Q$163,Referencias!A151,0),0)</f>
        <v>0</v>
      </c>
      <c r="K208" s="919"/>
      <c r="L208" s="920"/>
      <c r="M208" s="357">
        <f>+IFERROR(HLOOKUP('C.Recicladores'!$C$121,Referencias!$C$136:$Q$163,Referencias!A151,0),0)</f>
        <v>0</v>
      </c>
      <c r="N208" s="336"/>
      <c r="O208" s="336"/>
      <c r="P208" s="336"/>
      <c r="Q208" s="248"/>
      <c r="R208" s="293"/>
      <c r="S208" s="247"/>
    </row>
    <row r="209" spans="2:19" ht="21.75" customHeight="1" x14ac:dyDescent="0.25">
      <c r="B209" s="246"/>
      <c r="C209" s="292"/>
      <c r="D209" s="411" t="s">
        <v>185</v>
      </c>
      <c r="E209" s="415"/>
      <c r="F209" s="356" t="s">
        <v>174</v>
      </c>
      <c r="G209" s="675"/>
      <c r="H209" s="914"/>
      <c r="I209" s="915"/>
      <c r="J209" s="918">
        <f>+IFERROR(HLOOKUP('C.Recicladores'!$C$120,Referencias!$C$136:$Q$163,Referencias!A152,0),0)</f>
        <v>0</v>
      </c>
      <c r="K209" s="919"/>
      <c r="L209" s="920"/>
      <c r="M209" s="357">
        <f>+IFERROR(HLOOKUP('C.Recicladores'!$C$121,Referencias!$C$136:$Q$163,Referencias!A152,0),0)</f>
        <v>0</v>
      </c>
      <c r="N209" s="336"/>
      <c r="O209" s="336"/>
      <c r="P209" s="336"/>
      <c r="Q209" s="248"/>
      <c r="R209" s="293"/>
      <c r="S209" s="247"/>
    </row>
    <row r="210" spans="2:19" ht="21.75" customHeight="1" x14ac:dyDescent="0.25">
      <c r="B210" s="246"/>
      <c r="C210" s="292"/>
      <c r="D210" s="411" t="s">
        <v>186</v>
      </c>
      <c r="E210" s="415"/>
      <c r="F210" s="356" t="s">
        <v>174</v>
      </c>
      <c r="G210" s="675"/>
      <c r="H210" s="914"/>
      <c r="I210" s="915"/>
      <c r="J210" s="918">
        <f>+IFERROR(HLOOKUP('C.Recicladores'!$C$120,Referencias!$C$136:$Q$163,Referencias!A153,0),0)</f>
        <v>0</v>
      </c>
      <c r="K210" s="919"/>
      <c r="L210" s="920"/>
      <c r="M210" s="357">
        <f>+IFERROR(HLOOKUP('C.Recicladores'!$C$121,Referencias!$C$136:$Q$163,Referencias!A153,0),0)</f>
        <v>0</v>
      </c>
      <c r="N210" s="336"/>
      <c r="O210" s="336"/>
      <c r="P210" s="336"/>
      <c r="Q210" s="248"/>
      <c r="R210" s="293"/>
      <c r="S210" s="247"/>
    </row>
    <row r="211" spans="2:19" ht="21.75" customHeight="1" x14ac:dyDescent="0.25">
      <c r="B211" s="246"/>
      <c r="C211" s="292"/>
      <c r="D211" s="411" t="s">
        <v>684</v>
      </c>
      <c r="E211" s="415"/>
      <c r="F211" s="356" t="s">
        <v>174</v>
      </c>
      <c r="G211" s="675"/>
      <c r="H211" s="914"/>
      <c r="I211" s="915"/>
      <c r="J211" s="918">
        <f>+IFERROR(HLOOKUP('C.Recicladores'!$C$120,Referencias!$C$136:$Q$164,Referencias!A164,0),0)</f>
        <v>0</v>
      </c>
      <c r="K211" s="919"/>
      <c r="L211" s="920"/>
      <c r="M211" s="357">
        <f>+Referencias!P164</f>
        <v>0</v>
      </c>
      <c r="N211" s="336"/>
      <c r="O211" s="336"/>
      <c r="P211" s="336"/>
      <c r="Q211" s="248"/>
      <c r="R211" s="293"/>
      <c r="S211" s="247"/>
    </row>
    <row r="212" spans="2:19" ht="21.75" customHeight="1" x14ac:dyDescent="0.25">
      <c r="B212" s="246"/>
      <c r="C212" s="292"/>
      <c r="D212" s="411" t="s">
        <v>187</v>
      </c>
      <c r="E212" s="415"/>
      <c r="F212" s="356" t="s">
        <v>174</v>
      </c>
      <c r="G212" s="675"/>
      <c r="H212" s="914"/>
      <c r="I212" s="915"/>
      <c r="J212" s="918">
        <f>+IFERROR(HLOOKUP('C.Recicladores'!$C$120,Referencias!$C$136:$Q$163,Referencias!A154,0),0)</f>
        <v>0</v>
      </c>
      <c r="K212" s="919"/>
      <c r="L212" s="920"/>
      <c r="M212" s="357">
        <f>+IFERROR(HLOOKUP('C.Recicladores'!$C$121,Referencias!$C$136:$Q$163,Referencias!A154,0),0)</f>
        <v>0</v>
      </c>
      <c r="N212" s="336"/>
      <c r="O212" s="336"/>
      <c r="P212" s="336"/>
      <c r="Q212" s="248"/>
      <c r="R212" s="293"/>
      <c r="S212" s="247"/>
    </row>
    <row r="213" spans="2:19" ht="21.75" customHeight="1" x14ac:dyDescent="0.25">
      <c r="B213" s="246"/>
      <c r="C213" s="292"/>
      <c r="D213" s="411" t="s">
        <v>188</v>
      </c>
      <c r="E213" s="415"/>
      <c r="F213" s="356" t="s">
        <v>174</v>
      </c>
      <c r="G213" s="675"/>
      <c r="H213" s="914"/>
      <c r="I213" s="915"/>
      <c r="J213" s="918">
        <f>+IFERROR(HLOOKUP('C.Recicladores'!$C$120,Referencias!$C$136:$Q$163,Referencias!A155,0),0)</f>
        <v>0</v>
      </c>
      <c r="K213" s="919"/>
      <c r="L213" s="920"/>
      <c r="M213" s="357">
        <f>+IFERROR(HLOOKUP('C.Recicladores'!$C$121,Referencias!$C$136:$Q$163,Referencias!A155,0),0)</f>
        <v>0</v>
      </c>
      <c r="N213" s="336"/>
      <c r="O213" s="336"/>
      <c r="P213" s="336"/>
      <c r="Q213" s="248"/>
      <c r="R213" s="293"/>
      <c r="S213" s="247"/>
    </row>
    <row r="214" spans="2:19" ht="21.75" customHeight="1" x14ac:dyDescent="0.25">
      <c r="B214" s="246"/>
      <c r="C214" s="292"/>
      <c r="D214" s="411" t="s">
        <v>189</v>
      </c>
      <c r="E214" s="415"/>
      <c r="F214" s="356" t="s">
        <v>174</v>
      </c>
      <c r="G214" s="675"/>
      <c r="H214" s="914"/>
      <c r="I214" s="915"/>
      <c r="J214" s="918">
        <f>+IFERROR(HLOOKUP('C.Recicladores'!$C$120,Referencias!$C$136:$Q$163,Referencias!A156,0),0)</f>
        <v>0</v>
      </c>
      <c r="K214" s="919"/>
      <c r="L214" s="920"/>
      <c r="M214" s="357">
        <f>+IFERROR(HLOOKUP('C.Recicladores'!$C$121,Referencias!$C$136:$Q$163,Referencias!A156,0),0)</f>
        <v>0</v>
      </c>
      <c r="N214" s="336"/>
      <c r="O214" s="336"/>
      <c r="P214" s="336"/>
      <c r="Q214" s="248"/>
      <c r="R214" s="293"/>
      <c r="S214" s="247"/>
    </row>
    <row r="215" spans="2:19" ht="21.75" customHeight="1" x14ac:dyDescent="0.25">
      <c r="B215" s="246"/>
      <c r="C215" s="292"/>
      <c r="D215" s="411" t="s">
        <v>190</v>
      </c>
      <c r="E215" s="415"/>
      <c r="F215" s="356" t="s">
        <v>191</v>
      </c>
      <c r="G215" s="675"/>
      <c r="H215" s="914"/>
      <c r="I215" s="915"/>
      <c r="J215" s="918">
        <f>+IFERROR(HLOOKUP('C.Recicladores'!$C$120,Referencias!$C$136:$Q$163,Referencias!A157,0),0)</f>
        <v>0</v>
      </c>
      <c r="K215" s="919"/>
      <c r="L215" s="920"/>
      <c r="M215" s="357">
        <f>+IFERROR(HLOOKUP('C.Recicladores'!$C$121,Referencias!$C$136:$Q$163,Referencias!A157,0),0)</f>
        <v>0</v>
      </c>
      <c r="N215" s="336"/>
      <c r="O215" s="336"/>
      <c r="P215" s="336"/>
      <c r="Q215" s="248"/>
      <c r="R215" s="293"/>
      <c r="S215" s="247"/>
    </row>
    <row r="216" spans="2:19" ht="21.75" customHeight="1" x14ac:dyDescent="0.25">
      <c r="B216" s="246"/>
      <c r="C216" s="292"/>
      <c r="D216" s="411" t="s">
        <v>192</v>
      </c>
      <c r="E216" s="415"/>
      <c r="F216" s="356" t="s">
        <v>191</v>
      </c>
      <c r="G216" s="675"/>
      <c r="H216" s="914"/>
      <c r="I216" s="915"/>
      <c r="J216" s="918">
        <f>+IFERROR(HLOOKUP('C.Recicladores'!$C$120,Referencias!$C$136:$Q$163,Referencias!A158,0),0)</f>
        <v>1</v>
      </c>
      <c r="K216" s="919"/>
      <c r="L216" s="920"/>
      <c r="M216" s="357">
        <f>+IFERROR(HLOOKUP('C.Recicladores'!$C$121,Referencias!$C$136:$Q$163,Referencias!A158,0),0)</f>
        <v>0</v>
      </c>
      <c r="N216" s="336"/>
      <c r="O216" s="336"/>
      <c r="P216" s="336"/>
      <c r="Q216" s="248"/>
      <c r="R216" s="293"/>
      <c r="S216" s="247"/>
    </row>
    <row r="217" spans="2:19" ht="21.75" customHeight="1" x14ac:dyDescent="0.25">
      <c r="B217" s="246"/>
      <c r="C217" s="292"/>
      <c r="D217" s="411" t="s">
        <v>193</v>
      </c>
      <c r="E217" s="415"/>
      <c r="F217" s="356" t="s">
        <v>174</v>
      </c>
      <c r="G217" s="675"/>
      <c r="H217" s="914"/>
      <c r="I217" s="915"/>
      <c r="J217" s="918">
        <f>+IFERROR(HLOOKUP('C.Recicladores'!$C$120,Referencias!$C$136:$Q$163,Referencias!A159,0),0)</f>
        <v>0</v>
      </c>
      <c r="K217" s="919"/>
      <c r="L217" s="920"/>
      <c r="M217" s="357">
        <f>+IFERROR(HLOOKUP('C.Recicladores'!$C$121,Referencias!$C$136:$Q$163,Referencias!A159,0),0)</f>
        <v>0</v>
      </c>
      <c r="N217" s="336"/>
      <c r="O217" s="336"/>
      <c r="P217" s="336"/>
      <c r="Q217" s="248"/>
      <c r="R217" s="293"/>
      <c r="S217" s="247"/>
    </row>
    <row r="218" spans="2:19" ht="21.75" customHeight="1" x14ac:dyDescent="0.25">
      <c r="B218" s="246"/>
      <c r="C218" s="292"/>
      <c r="D218" s="411" t="s">
        <v>194</v>
      </c>
      <c r="E218" s="415"/>
      <c r="F218" s="356" t="s">
        <v>174</v>
      </c>
      <c r="G218" s="675"/>
      <c r="H218" s="914"/>
      <c r="I218" s="915"/>
      <c r="J218" s="918">
        <f>+IFERROR(HLOOKUP('C.Recicladores'!$C$120,Referencias!$C$136:$Q$163,Referencias!A160,0),0)</f>
        <v>0</v>
      </c>
      <c r="K218" s="919"/>
      <c r="L218" s="920"/>
      <c r="M218" s="357">
        <f>+IFERROR(HLOOKUP('C.Recicladores'!$C$121,Referencias!$C$136:$Q$163,Referencias!A160,0),0)</f>
        <v>0</v>
      </c>
      <c r="N218" s="336"/>
      <c r="O218" s="336"/>
      <c r="P218" s="336"/>
      <c r="Q218" s="248"/>
      <c r="R218" s="293"/>
      <c r="S218" s="247"/>
    </row>
    <row r="219" spans="2:19" ht="21.75" customHeight="1" x14ac:dyDescent="0.25">
      <c r="B219" s="246"/>
      <c r="C219" s="292"/>
      <c r="D219" s="411" t="s">
        <v>195</v>
      </c>
      <c r="E219" s="415"/>
      <c r="F219" s="356" t="s">
        <v>174</v>
      </c>
      <c r="G219" s="675"/>
      <c r="H219" s="914"/>
      <c r="I219" s="915"/>
      <c r="J219" s="918">
        <f>+IFERROR(HLOOKUP('C.Recicladores'!$C$120,Referencias!$C$136:$Q$163,Referencias!A161,0),0)</f>
        <v>0</v>
      </c>
      <c r="K219" s="919"/>
      <c r="L219" s="920"/>
      <c r="M219" s="357">
        <f>+IFERROR(HLOOKUP('C.Recicladores'!$C$121,Referencias!$C$136:$Q$163,Referencias!A161,0),0)</f>
        <v>0</v>
      </c>
      <c r="N219" s="336"/>
      <c r="O219" s="336"/>
      <c r="P219" s="336"/>
      <c r="Q219" s="248"/>
      <c r="R219" s="293"/>
      <c r="S219" s="247"/>
    </row>
    <row r="220" spans="2:19" ht="21.75" customHeight="1" x14ac:dyDescent="0.25">
      <c r="B220" s="246"/>
      <c r="C220" s="292"/>
      <c r="D220" s="411" t="s">
        <v>196</v>
      </c>
      <c r="E220" s="415"/>
      <c r="F220" s="356" t="s">
        <v>174</v>
      </c>
      <c r="G220" s="675"/>
      <c r="H220" s="914"/>
      <c r="I220" s="915"/>
      <c r="J220" s="918">
        <f>+IFERROR(HLOOKUP('C.Recicladores'!$C$120,Referencias!$C$136:$Q$163,Referencias!A162,0),0)</f>
        <v>0</v>
      </c>
      <c r="K220" s="919"/>
      <c r="L220" s="920"/>
      <c r="M220" s="357">
        <f>+IFERROR(HLOOKUP('C.Recicladores'!$C$121,Referencias!$C$136:$Q$163,Referencias!A162,0),0)</f>
        <v>0</v>
      </c>
      <c r="N220" s="336"/>
      <c r="O220" s="336"/>
      <c r="P220" s="336"/>
      <c r="Q220" s="248"/>
      <c r="R220" s="293"/>
      <c r="S220" s="247"/>
    </row>
    <row r="221" spans="2:19" ht="21.75" customHeight="1" x14ac:dyDescent="0.25">
      <c r="B221" s="246"/>
      <c r="C221" s="292"/>
      <c r="D221" s="411" t="s">
        <v>197</v>
      </c>
      <c r="E221" s="415"/>
      <c r="F221" s="356" t="s">
        <v>191</v>
      </c>
      <c r="G221" s="675"/>
      <c r="H221" s="914"/>
      <c r="I221" s="915"/>
      <c r="J221" s="918">
        <f>+IFERROR(HLOOKUP('C.Recicladores'!$C$120,Referencias!$C$136:$Q$163,Referencias!A163,0),0)</f>
        <v>0</v>
      </c>
      <c r="K221" s="919"/>
      <c r="L221" s="920"/>
      <c r="M221" s="357">
        <f>+IFERROR(HLOOKUP('C.Recicladores'!$C$121,Referencias!$C$136:$Q$163,Referencias!A163,0),0)</f>
        <v>0</v>
      </c>
      <c r="N221" s="336"/>
      <c r="O221" s="336"/>
      <c r="P221" s="336"/>
      <c r="Q221" s="248"/>
      <c r="R221" s="293"/>
      <c r="S221" s="247"/>
    </row>
    <row r="222" spans="2:19" x14ac:dyDescent="0.25">
      <c r="B222" s="246"/>
      <c r="C222" s="296"/>
      <c r="D222" s="297"/>
      <c r="E222" s="297"/>
      <c r="F222" s="297"/>
      <c r="G222" s="297"/>
      <c r="H222" s="297"/>
      <c r="I222" s="297"/>
      <c r="J222" s="297"/>
      <c r="K222" s="297"/>
      <c r="L222" s="297"/>
      <c r="M222" s="297"/>
      <c r="N222" s="297"/>
      <c r="O222" s="297"/>
      <c r="P222" s="297"/>
      <c r="Q222" s="297"/>
      <c r="R222" s="298"/>
      <c r="S222" s="247"/>
    </row>
    <row r="223" spans="2:19" ht="9.75" customHeight="1" x14ac:dyDescent="0.25">
      <c r="B223" s="246"/>
      <c r="C223" s="248"/>
      <c r="D223" s="248"/>
      <c r="E223" s="248"/>
      <c r="F223" s="248"/>
      <c r="G223" s="248"/>
      <c r="H223" s="248"/>
      <c r="I223" s="248"/>
      <c r="J223" s="248"/>
      <c r="K223" s="248"/>
      <c r="L223" s="248"/>
      <c r="M223" s="248"/>
      <c r="N223" s="248"/>
      <c r="O223" s="248"/>
      <c r="P223" s="248"/>
      <c r="Q223" s="248"/>
      <c r="R223" s="248"/>
      <c r="S223" s="247"/>
    </row>
    <row r="224" spans="2:19" ht="15.75" customHeight="1" x14ac:dyDescent="0.25">
      <c r="B224" s="246"/>
      <c r="C224" s="289"/>
      <c r="D224" s="290"/>
      <c r="E224" s="290"/>
      <c r="F224" s="290"/>
      <c r="G224" s="290"/>
      <c r="H224" s="290"/>
      <c r="I224" s="290"/>
      <c r="J224" s="290"/>
      <c r="K224" s="290"/>
      <c r="L224" s="290"/>
      <c r="M224" s="290"/>
      <c r="N224" s="290"/>
      <c r="O224" s="290"/>
      <c r="P224" s="290"/>
      <c r="Q224" s="290"/>
      <c r="R224" s="291"/>
      <c r="S224" s="247"/>
    </row>
    <row r="225" spans="2:19" ht="18.75" x14ac:dyDescent="0.25">
      <c r="B225" s="246"/>
      <c r="C225" s="292"/>
      <c r="D225" s="248"/>
      <c r="E225" s="936" t="s">
        <v>144</v>
      </c>
      <c r="F225" s="937"/>
      <c r="G225" s="937"/>
      <c r="H225" s="937"/>
      <c r="I225" s="937"/>
      <c r="J225" s="937"/>
      <c r="K225" s="937"/>
      <c r="L225" s="937"/>
      <c r="M225" s="937"/>
      <c r="N225" s="937"/>
      <c r="O225" s="937"/>
      <c r="P225" s="938"/>
      <c r="Q225" s="248"/>
      <c r="R225" s="293"/>
      <c r="S225" s="247"/>
    </row>
    <row r="226" spans="2:19" ht="34.5" customHeight="1" x14ac:dyDescent="0.25">
      <c r="B226" s="246"/>
      <c r="C226" s="292"/>
      <c r="D226" s="248"/>
      <c r="E226" s="1049" t="s">
        <v>505</v>
      </c>
      <c r="F226" s="1049"/>
      <c r="G226" s="1049"/>
      <c r="H226" s="1049"/>
      <c r="I226" s="1049"/>
      <c r="J226" s="1049"/>
      <c r="K226" s="1049"/>
      <c r="L226" s="1049"/>
      <c r="M226" s="1049"/>
      <c r="N226" s="1049"/>
      <c r="O226" s="1049"/>
      <c r="P226" s="1049"/>
      <c r="Q226" s="299"/>
      <c r="R226" s="293"/>
      <c r="S226" s="247"/>
    </row>
    <row r="227" spans="2:19" x14ac:dyDescent="0.25">
      <c r="B227" s="246"/>
      <c r="C227" s="292"/>
      <c r="D227" s="248"/>
      <c r="E227" s="248"/>
      <c r="F227" s="248"/>
      <c r="G227" s="248"/>
      <c r="H227" s="248"/>
      <c r="I227" s="248"/>
      <c r="J227" s="248"/>
      <c r="K227" s="248"/>
      <c r="L227" s="248"/>
      <c r="M227" s="248"/>
      <c r="N227" s="248"/>
      <c r="O227" s="248"/>
      <c r="P227" s="248"/>
      <c r="Q227" s="248"/>
      <c r="R227" s="293"/>
      <c r="S227" s="247"/>
    </row>
    <row r="228" spans="2:19" ht="49.5" customHeight="1" x14ac:dyDescent="0.25">
      <c r="B228" s="246"/>
      <c r="C228" s="292"/>
      <c r="D228" s="248"/>
      <c r="E228" s="337" t="s">
        <v>145</v>
      </c>
      <c r="F228" s="338"/>
      <c r="G228" s="337" t="s">
        <v>165</v>
      </c>
      <c r="H228" s="987" t="s">
        <v>358</v>
      </c>
      <c r="I228" s="988"/>
      <c r="J228" s="987" t="s">
        <v>281</v>
      </c>
      <c r="K228" s="989"/>
      <c r="L228" s="988"/>
      <c r="M228" s="295" t="s">
        <v>125</v>
      </c>
      <c r="N228" s="339" t="s">
        <v>424</v>
      </c>
      <c r="O228" s="295" t="s">
        <v>137</v>
      </c>
      <c r="P228" s="248"/>
      <c r="Q228" s="248"/>
      <c r="R228" s="293"/>
      <c r="S228" s="247"/>
    </row>
    <row r="229" spans="2:19" ht="28.5" customHeight="1" x14ac:dyDescent="0.25">
      <c r="B229" s="246"/>
      <c r="C229" s="292"/>
      <c r="D229" s="248"/>
      <c r="E229" s="411" t="s">
        <v>200</v>
      </c>
      <c r="F229" s="415"/>
      <c r="G229" s="411" t="s">
        <v>364</v>
      </c>
      <c r="H229" s="984"/>
      <c r="I229" s="985"/>
      <c r="J229" s="1046">
        <f>IFERROR(IF('Datos Generales'!K11="Moneda local",HLOOKUP('C.Recicladores'!C120,Referencias!C120:E133,Referencias!A129,0),HLOOKUP('C.Recicladores'!C120,Referencias!C120:E133,Referencias!A128,0)),0)</f>
        <v>1.82</v>
      </c>
      <c r="K229" s="1047"/>
      <c r="L229" s="1048"/>
      <c r="M229" s="340"/>
      <c r="N229" s="340"/>
      <c r="O229" s="340"/>
      <c r="P229" s="248"/>
      <c r="Q229" s="248"/>
      <c r="R229" s="293"/>
      <c r="S229" s="247"/>
    </row>
    <row r="230" spans="2:19" ht="49.9" customHeight="1" x14ac:dyDescent="0.25">
      <c r="B230" s="246"/>
      <c r="C230" s="292"/>
      <c r="D230" s="248"/>
      <c r="E230" s="1050" t="s">
        <v>719</v>
      </c>
      <c r="F230" s="1051"/>
      <c r="G230" s="418" t="s">
        <v>408</v>
      </c>
      <c r="H230" s="984"/>
      <c r="I230" s="985"/>
      <c r="J230" s="1052" t="e">
        <f>IFERROR(HLOOKUP('C.Recicladores'!C120,Referencias!C120:E133,Referencias!A130,0),0)*'C.RecicladoresRef'!H128/'C.Recicladores'!C114</f>
        <v>#DIV/0!</v>
      </c>
      <c r="K230" s="1053"/>
      <c r="L230" s="1054"/>
      <c r="M230" s="314"/>
      <c r="N230" s="314"/>
      <c r="O230" s="314"/>
      <c r="P230" s="248"/>
      <c r="Q230" s="248"/>
      <c r="R230" s="293"/>
      <c r="S230" s="247"/>
    </row>
    <row r="231" spans="2:19" ht="45" customHeight="1" x14ac:dyDescent="0.25">
      <c r="B231" s="246"/>
      <c r="C231" s="292"/>
      <c r="D231" s="248"/>
      <c r="E231" s="1050" t="s">
        <v>720</v>
      </c>
      <c r="F231" s="1051"/>
      <c r="G231" s="418" t="s">
        <v>408</v>
      </c>
      <c r="H231" s="984"/>
      <c r="I231" s="985"/>
      <c r="J231" s="1052" t="e">
        <f>IFERROR(HLOOKUP('C.Recicladores'!C120,Referencias!C120:E133,Referencias!A131,0),0)*'C.RecicladoresRef'!H128/'C.Recicladores'!C114</f>
        <v>#DIV/0!</v>
      </c>
      <c r="K231" s="1053"/>
      <c r="L231" s="1054"/>
      <c r="M231" s="314"/>
      <c r="N231" s="314"/>
      <c r="O231" s="314"/>
      <c r="P231" s="248"/>
      <c r="Q231" s="248"/>
      <c r="R231" s="293"/>
      <c r="S231" s="247"/>
    </row>
    <row r="232" spans="2:19" x14ac:dyDescent="0.25">
      <c r="B232" s="246"/>
      <c r="C232" s="296"/>
      <c r="D232" s="297"/>
      <c r="E232" s="297"/>
      <c r="F232" s="297"/>
      <c r="G232" s="297"/>
      <c r="H232" s="297"/>
      <c r="I232" s="297"/>
      <c r="J232" s="297"/>
      <c r="K232" s="297"/>
      <c r="L232" s="297"/>
      <c r="M232" s="297"/>
      <c r="N232" s="297"/>
      <c r="O232" s="297"/>
      <c r="P232" s="297"/>
      <c r="Q232" s="297"/>
      <c r="R232" s="298"/>
      <c r="S232" s="247"/>
    </row>
    <row r="233" spans="2:19" ht="10.5" customHeight="1" x14ac:dyDescent="0.25">
      <c r="B233" s="246"/>
      <c r="C233" s="248"/>
      <c r="D233" s="248"/>
      <c r="E233" s="248"/>
      <c r="F233" s="248"/>
      <c r="G233" s="248"/>
      <c r="H233" s="248"/>
      <c r="I233" s="248"/>
      <c r="J233" s="248"/>
      <c r="K233" s="248"/>
      <c r="L233" s="248"/>
      <c r="M233" s="248"/>
      <c r="N233" s="248"/>
      <c r="O233" s="248"/>
      <c r="P233" s="248"/>
      <c r="Q233" s="248"/>
      <c r="R233" s="248"/>
      <c r="S233" s="247"/>
    </row>
    <row r="234" spans="2:19" ht="10.5" customHeight="1" x14ac:dyDescent="0.25">
      <c r="B234" s="246"/>
      <c r="C234" s="248"/>
      <c r="D234" s="248"/>
      <c r="E234" s="248"/>
      <c r="F234" s="248"/>
      <c r="G234" s="248"/>
      <c r="H234" s="248"/>
      <c r="I234" s="248"/>
      <c r="J234" s="248"/>
      <c r="K234" s="248"/>
      <c r="L234" s="248"/>
      <c r="M234" s="248"/>
      <c r="N234" s="248"/>
      <c r="O234" s="248"/>
      <c r="P234" s="329"/>
      <c r="Q234" s="248"/>
      <c r="R234" s="248"/>
      <c r="S234" s="247"/>
    </row>
    <row r="235" spans="2:19" x14ac:dyDescent="0.25">
      <c r="B235" s="246"/>
      <c r="C235" s="289"/>
      <c r="D235" s="290"/>
      <c r="E235" s="290"/>
      <c r="F235" s="290"/>
      <c r="G235" s="290"/>
      <c r="H235" s="290"/>
      <c r="I235" s="290"/>
      <c r="J235" s="290"/>
      <c r="K235" s="290"/>
      <c r="L235" s="290"/>
      <c r="M235" s="290"/>
      <c r="N235" s="290"/>
      <c r="O235" s="290"/>
      <c r="P235" s="290"/>
      <c r="Q235" s="290"/>
      <c r="R235" s="291"/>
      <c r="S235" s="247"/>
    </row>
    <row r="236" spans="2:19" ht="18.75" x14ac:dyDescent="0.25">
      <c r="B236" s="246"/>
      <c r="C236" s="292"/>
      <c r="D236" s="248"/>
      <c r="E236" s="939" t="s">
        <v>143</v>
      </c>
      <c r="F236" s="939"/>
      <c r="G236" s="939"/>
      <c r="H236" s="939"/>
      <c r="I236" s="939"/>
      <c r="J236" s="939"/>
      <c r="K236" s="939"/>
      <c r="L236" s="939"/>
      <c r="M236" s="939"/>
      <c r="N236" s="939"/>
      <c r="O236" s="939"/>
      <c r="P236" s="939"/>
      <c r="Q236" s="299"/>
      <c r="R236" s="293"/>
      <c r="S236" s="247"/>
    </row>
    <row r="237" spans="2:19" ht="9" customHeight="1" x14ac:dyDescent="0.25">
      <c r="B237" s="246"/>
      <c r="C237" s="292"/>
      <c r="D237" s="248"/>
      <c r="E237" s="248"/>
      <c r="F237" s="248"/>
      <c r="G237" s="248"/>
      <c r="H237" s="248"/>
      <c r="I237" s="248"/>
      <c r="J237" s="248"/>
      <c r="K237" s="248"/>
      <c r="L237" s="248"/>
      <c r="M237" s="248"/>
      <c r="N237" s="248"/>
      <c r="O237" s="248"/>
      <c r="P237" s="248"/>
      <c r="Q237" s="248"/>
      <c r="R237" s="293"/>
      <c r="S237" s="247"/>
    </row>
    <row r="238" spans="2:19" ht="21.75" customHeight="1" x14ac:dyDescent="0.25">
      <c r="B238" s="246"/>
      <c r="C238" s="292"/>
      <c r="D238" s="248"/>
      <c r="E238" s="1000" t="s">
        <v>506</v>
      </c>
      <c r="F238" s="1000"/>
      <c r="G238" s="1000"/>
      <c r="H238" s="1000"/>
      <c r="I238" s="1000"/>
      <c r="J238" s="1000"/>
      <c r="K238" s="1000"/>
      <c r="L238" s="1000"/>
      <c r="M238" s="1000"/>
      <c r="N238" s="1000"/>
      <c r="O238" s="1000"/>
      <c r="P238" s="1000"/>
      <c r="Q238" s="1000"/>
      <c r="R238" s="293"/>
      <c r="S238" s="247"/>
    </row>
    <row r="239" spans="2:19" x14ac:dyDescent="0.25">
      <c r="B239" s="246"/>
      <c r="C239" s="292"/>
      <c r="D239" s="248"/>
      <c r="E239" s="248"/>
      <c r="F239" s="248"/>
      <c r="G239" s="248"/>
      <c r="H239" s="248"/>
      <c r="I239" s="248"/>
      <c r="J239" s="248"/>
      <c r="K239" s="248"/>
      <c r="L239" s="248"/>
      <c r="M239" s="248"/>
      <c r="N239" s="248"/>
      <c r="O239" s="248"/>
      <c r="P239" s="248"/>
      <c r="Q239" s="248"/>
      <c r="R239" s="293"/>
      <c r="S239" s="247"/>
    </row>
    <row r="240" spans="2:19" ht="41.25" customHeight="1" x14ac:dyDescent="0.25">
      <c r="B240" s="246"/>
      <c r="C240" s="292"/>
      <c r="D240" s="248"/>
      <c r="E240" s="983" t="s">
        <v>145</v>
      </c>
      <c r="F240" s="983"/>
      <c r="G240" s="983"/>
      <c r="H240" s="983" t="s">
        <v>165</v>
      </c>
      <c r="I240" s="983"/>
      <c r="J240" s="983" t="s">
        <v>358</v>
      </c>
      <c r="K240" s="983"/>
      <c r="L240" s="983"/>
      <c r="M240" s="339" t="s">
        <v>281</v>
      </c>
      <c r="N240" s="295" t="s">
        <v>125</v>
      </c>
      <c r="O240" s="339" t="s">
        <v>424</v>
      </c>
      <c r="P240" s="295" t="s">
        <v>137</v>
      </c>
      <c r="Q240" s="248"/>
      <c r="R240" s="293"/>
      <c r="S240" s="247"/>
    </row>
    <row r="241" spans="2:19" ht="23.25" customHeight="1" x14ac:dyDescent="0.25">
      <c r="B241" s="246"/>
      <c r="C241" s="292"/>
      <c r="D241" s="248"/>
      <c r="E241" s="928" t="s">
        <v>204</v>
      </c>
      <c r="F241" s="928"/>
      <c r="G241" s="928"/>
      <c r="H241" s="995" t="s">
        <v>359</v>
      </c>
      <c r="I241" s="995"/>
      <c r="J241" s="1056"/>
      <c r="K241" s="1056"/>
      <c r="L241" s="1056"/>
      <c r="M241" s="361">
        <f>IFERROR(IF('Datos Generales'!K11="Moneda local",HLOOKUP('C.Recicladores'!C120,Referencias!C120:E133,Referencias!A126,0),HLOOKUP('C.Recicladores'!C120,Referencias!C120:E133,Referencias!A125,0)),0)</f>
        <v>4.05</v>
      </c>
      <c r="N241" s="340"/>
      <c r="O241" s="314"/>
      <c r="P241" s="314"/>
      <c r="Q241" s="248"/>
      <c r="R241" s="293"/>
      <c r="S241" s="247"/>
    </row>
    <row r="242" spans="2:19" ht="29.25" customHeight="1" x14ac:dyDescent="0.25">
      <c r="B242" s="246"/>
      <c r="C242" s="292"/>
      <c r="D242" s="248"/>
      <c r="E242" s="928" t="s">
        <v>205</v>
      </c>
      <c r="F242" s="928"/>
      <c r="G242" s="928"/>
      <c r="H242" s="986" t="s">
        <v>408</v>
      </c>
      <c r="I242" s="986"/>
      <c r="J242" s="1055"/>
      <c r="K242" s="1055"/>
      <c r="L242" s="1055"/>
      <c r="M242" s="425" t="e">
        <f>IFERROR(HLOOKUP('C.Recicladores'!C120,Referencias!C120:E133,Referencias!A127,0),0)*'C.RecicladoresRef'!H128/'C.Recicladores'!C114</f>
        <v>#DIV/0!</v>
      </c>
      <c r="N242" s="314"/>
      <c r="O242" s="314"/>
      <c r="P242" s="314"/>
      <c r="Q242" s="248"/>
      <c r="R242" s="293"/>
      <c r="S242" s="247"/>
    </row>
    <row r="243" spans="2:19" x14ac:dyDescent="0.25">
      <c r="B243" s="246"/>
      <c r="C243" s="296"/>
      <c r="D243" s="297"/>
      <c r="E243" s="297"/>
      <c r="F243" s="297"/>
      <c r="G243" s="297"/>
      <c r="H243" s="297"/>
      <c r="I243" s="297"/>
      <c r="J243" s="297"/>
      <c r="K243" s="297"/>
      <c r="L243" s="297"/>
      <c r="M243" s="297"/>
      <c r="N243" s="297"/>
      <c r="O243" s="297"/>
      <c r="P243" s="297"/>
      <c r="Q243" s="297"/>
      <c r="R243" s="298"/>
      <c r="S243" s="247"/>
    </row>
    <row r="244" spans="2:19" ht="15.75" thickBot="1" x14ac:dyDescent="0.3">
      <c r="B244" s="317"/>
      <c r="C244" s="318"/>
      <c r="D244" s="318"/>
      <c r="E244" s="318"/>
      <c r="F244" s="318"/>
      <c r="G244" s="318"/>
      <c r="H244" s="318"/>
      <c r="I244" s="318"/>
      <c r="J244" s="318"/>
      <c r="K244" s="318"/>
      <c r="L244" s="318"/>
      <c r="M244" s="318"/>
      <c r="N244" s="318"/>
      <c r="O244" s="318"/>
      <c r="P244" s="318"/>
      <c r="Q244" s="318"/>
      <c r="R244" s="318"/>
      <c r="S244" s="319"/>
    </row>
    <row r="245" spans="2:19" s="238" customFormat="1" ht="15.75" thickBot="1" x14ac:dyDescent="0.3">
      <c r="C245" s="320"/>
      <c r="D245" s="320"/>
      <c r="E245" s="320"/>
      <c r="F245" s="320"/>
      <c r="G245" s="320"/>
      <c r="H245" s="320"/>
      <c r="I245" s="320"/>
      <c r="J245" s="320"/>
      <c r="K245" s="320"/>
      <c r="L245" s="320"/>
      <c r="M245" s="320"/>
      <c r="N245" s="320"/>
      <c r="O245" s="320"/>
      <c r="P245" s="320"/>
      <c r="Q245" s="320"/>
      <c r="R245" s="320"/>
    </row>
    <row r="246" spans="2:19" ht="14.25" customHeight="1" x14ac:dyDescent="0.25">
      <c r="B246" s="242"/>
      <c r="C246" s="243"/>
      <c r="D246" s="243"/>
      <c r="E246" s="243"/>
      <c r="F246" s="243"/>
      <c r="G246" s="243"/>
      <c r="H246" s="243"/>
      <c r="I246" s="243"/>
      <c r="J246" s="243"/>
      <c r="K246" s="243"/>
      <c r="L246" s="243"/>
      <c r="M246" s="243"/>
      <c r="N246" s="243"/>
      <c r="O246" s="243"/>
      <c r="P246" s="243"/>
      <c r="Q246" s="243"/>
      <c r="R246" s="243"/>
      <c r="S246" s="244"/>
    </row>
    <row r="247" spans="2:19" ht="23.25" x14ac:dyDescent="0.25">
      <c r="B247" s="246"/>
      <c r="C247" s="942" t="s">
        <v>209</v>
      </c>
      <c r="D247" s="942"/>
      <c r="E247" s="942"/>
      <c r="F247" s="942"/>
      <c r="G247" s="942"/>
      <c r="H247" s="942"/>
      <c r="I247" s="942"/>
      <c r="J247" s="942"/>
      <c r="K247" s="942"/>
      <c r="L247" s="942"/>
      <c r="M247" s="942"/>
      <c r="N247" s="942"/>
      <c r="O247" s="942"/>
      <c r="P247" s="942"/>
      <c r="Q247" s="942"/>
      <c r="R247" s="942"/>
      <c r="S247" s="247"/>
    </row>
    <row r="248" spans="2:19" ht="12.75" customHeight="1" x14ac:dyDescent="0.25">
      <c r="B248" s="246"/>
      <c r="C248" s="248"/>
      <c r="D248" s="248"/>
      <c r="E248" s="248"/>
      <c r="F248" s="248"/>
      <c r="G248" s="248"/>
      <c r="H248" s="248"/>
      <c r="I248" s="248"/>
      <c r="J248" s="248"/>
      <c r="K248" s="248"/>
      <c r="L248" s="248"/>
      <c r="M248" s="248"/>
      <c r="N248" s="248"/>
      <c r="O248" s="248"/>
      <c r="P248" s="248"/>
      <c r="Q248" s="248"/>
      <c r="R248" s="248"/>
      <c r="S248" s="247"/>
    </row>
    <row r="249" spans="2:19" ht="11.25" customHeight="1" x14ac:dyDescent="0.25">
      <c r="B249" s="246"/>
      <c r="C249" s="289"/>
      <c r="D249" s="290"/>
      <c r="E249" s="290"/>
      <c r="F249" s="290"/>
      <c r="G249" s="290"/>
      <c r="H249" s="290"/>
      <c r="I249" s="290"/>
      <c r="J249" s="290"/>
      <c r="K249" s="290"/>
      <c r="L249" s="290"/>
      <c r="M249" s="290"/>
      <c r="N249" s="290"/>
      <c r="O249" s="290"/>
      <c r="P249" s="290"/>
      <c r="Q249" s="290"/>
      <c r="R249" s="291"/>
      <c r="S249" s="247"/>
    </row>
    <row r="250" spans="2:19" ht="18.75" x14ac:dyDescent="0.25">
      <c r="B250" s="246"/>
      <c r="C250" s="292"/>
      <c r="D250" s="248"/>
      <c r="E250" s="939" t="s">
        <v>207</v>
      </c>
      <c r="F250" s="939"/>
      <c r="G250" s="939"/>
      <c r="H250" s="939"/>
      <c r="I250" s="939"/>
      <c r="J250" s="939"/>
      <c r="K250" s="939"/>
      <c r="L250" s="939"/>
      <c r="M250" s="939"/>
      <c r="N250" s="939"/>
      <c r="O250" s="939"/>
      <c r="P250" s="939"/>
      <c r="Q250" s="248"/>
      <c r="R250" s="293"/>
      <c r="S250" s="247"/>
    </row>
    <row r="251" spans="2:19" ht="27.75" customHeight="1" x14ac:dyDescent="0.25">
      <c r="B251" s="246"/>
      <c r="C251" s="292"/>
      <c r="D251" s="248"/>
      <c r="E251" s="248" t="s">
        <v>507</v>
      </c>
      <c r="F251" s="248"/>
      <c r="G251" s="248"/>
      <c r="H251" s="248"/>
      <c r="I251" s="248"/>
      <c r="J251" s="248"/>
      <c r="K251" s="248"/>
      <c r="L251" s="248"/>
      <c r="M251" s="248"/>
      <c r="N251" s="248"/>
      <c r="O251" s="248"/>
      <c r="P251" s="248"/>
      <c r="Q251" s="299"/>
      <c r="R251" s="293"/>
      <c r="S251" s="247"/>
    </row>
    <row r="252" spans="2:19" x14ac:dyDescent="0.25">
      <c r="B252" s="246"/>
      <c r="C252" s="292"/>
      <c r="D252" s="248"/>
      <c r="E252" s="248"/>
      <c r="F252" s="248"/>
      <c r="G252" s="248"/>
      <c r="H252" s="248"/>
      <c r="I252" s="248"/>
      <c r="J252" s="248"/>
      <c r="K252" s="248"/>
      <c r="L252" s="248"/>
      <c r="M252" s="248"/>
      <c r="N252" s="248"/>
      <c r="O252" s="248"/>
      <c r="P252" s="248"/>
      <c r="Q252" s="248"/>
      <c r="R252" s="293"/>
      <c r="S252" s="247"/>
    </row>
    <row r="253" spans="2:19" ht="51" customHeight="1" x14ac:dyDescent="0.25">
      <c r="B253" s="246"/>
      <c r="C253" s="292"/>
      <c r="D253" s="248"/>
      <c r="E253" s="983" t="s">
        <v>145</v>
      </c>
      <c r="F253" s="983"/>
      <c r="G253" s="983"/>
      <c r="H253" s="983" t="s">
        <v>165</v>
      </c>
      <c r="I253" s="983"/>
      <c r="J253" s="983" t="s">
        <v>358</v>
      </c>
      <c r="K253" s="983"/>
      <c r="L253" s="983" t="s">
        <v>281</v>
      </c>
      <c r="M253" s="983"/>
      <c r="N253" s="295" t="s">
        <v>468</v>
      </c>
      <c r="O253" s="339" t="s">
        <v>424</v>
      </c>
      <c r="P253" s="295" t="s">
        <v>137</v>
      </c>
      <c r="Q253" s="248"/>
      <c r="R253" s="293"/>
      <c r="S253" s="247"/>
    </row>
    <row r="254" spans="2:19" ht="37.5" customHeight="1" x14ac:dyDescent="0.25">
      <c r="B254" s="246"/>
      <c r="C254" s="292"/>
      <c r="D254" s="248"/>
      <c r="E254" s="994" t="s">
        <v>208</v>
      </c>
      <c r="F254" s="994"/>
      <c r="G254" s="994"/>
      <c r="H254" s="993" t="s">
        <v>206</v>
      </c>
      <c r="I254" s="993"/>
      <c r="J254" s="1057"/>
      <c r="K254" s="1057"/>
      <c r="L254" s="895">
        <v>0.14000000000000001</v>
      </c>
      <c r="M254" s="895"/>
      <c r="N254" s="314"/>
      <c r="O254" s="314"/>
      <c r="P254" s="314"/>
      <c r="Q254" s="248"/>
      <c r="R254" s="293"/>
      <c r="S254" s="247"/>
    </row>
    <row r="255" spans="2:19" x14ac:dyDescent="0.25">
      <c r="B255" s="246"/>
      <c r="C255" s="296"/>
      <c r="D255" s="297"/>
      <c r="E255" s="297"/>
      <c r="F255" s="297"/>
      <c r="G255" s="297"/>
      <c r="H255" s="297"/>
      <c r="I255" s="297"/>
      <c r="J255" s="297"/>
      <c r="K255" s="297"/>
      <c r="L255" s="297"/>
      <c r="M255" s="297"/>
      <c r="N255" s="297"/>
      <c r="O255" s="297"/>
      <c r="P255" s="297"/>
      <c r="Q255" s="297"/>
      <c r="R255" s="298"/>
      <c r="S255" s="247"/>
    </row>
    <row r="256" spans="2:19" ht="15.75" customHeight="1" x14ac:dyDescent="0.25">
      <c r="B256" s="246"/>
      <c r="C256" s="248"/>
      <c r="D256" s="248"/>
      <c r="E256" s="248"/>
      <c r="F256" s="248"/>
      <c r="G256" s="248"/>
      <c r="H256" s="248"/>
      <c r="I256" s="248"/>
      <c r="J256" s="248"/>
      <c r="K256" s="248"/>
      <c r="L256" s="248"/>
      <c r="M256" s="248"/>
      <c r="N256" s="248"/>
      <c r="O256" s="248"/>
      <c r="P256" s="248"/>
      <c r="Q256" s="248"/>
      <c r="R256" s="248"/>
      <c r="S256" s="247"/>
    </row>
    <row r="257" spans="2:19" ht="12.75" customHeight="1" x14ac:dyDescent="0.25">
      <c r="B257" s="246"/>
      <c r="C257" s="341"/>
      <c r="D257" s="342"/>
      <c r="E257" s="342"/>
      <c r="F257" s="342"/>
      <c r="G257" s="342"/>
      <c r="H257" s="342"/>
      <c r="I257" s="342"/>
      <c r="J257" s="342"/>
      <c r="K257" s="342"/>
      <c r="L257" s="342"/>
      <c r="M257" s="342"/>
      <c r="N257" s="342"/>
      <c r="O257" s="342"/>
      <c r="P257" s="342"/>
      <c r="Q257" s="342"/>
      <c r="R257" s="343"/>
      <c r="S257" s="247"/>
    </row>
    <row r="258" spans="2:19" ht="18.75" x14ac:dyDescent="0.25">
      <c r="B258" s="246"/>
      <c r="C258" s="344"/>
      <c r="D258" s="299"/>
      <c r="E258" s="939" t="s">
        <v>284</v>
      </c>
      <c r="F258" s="939"/>
      <c r="G258" s="939"/>
      <c r="H258" s="939"/>
      <c r="I258" s="939"/>
      <c r="J258" s="939"/>
      <c r="K258" s="939"/>
      <c r="L258" s="939"/>
      <c r="M258" s="939"/>
      <c r="N258" s="939"/>
      <c r="O258" s="939"/>
      <c r="P258" s="939"/>
      <c r="Q258" s="299"/>
      <c r="R258" s="345"/>
      <c r="S258" s="247"/>
    </row>
    <row r="259" spans="2:19" ht="24.75" customHeight="1" x14ac:dyDescent="0.25">
      <c r="B259" s="246"/>
      <c r="C259" s="292"/>
      <c r="D259" s="248"/>
      <c r="E259" s="248" t="s">
        <v>508</v>
      </c>
      <c r="F259" s="248"/>
      <c r="G259" s="248"/>
      <c r="H259" s="248"/>
      <c r="I259" s="248"/>
      <c r="J259" s="248"/>
      <c r="K259" s="248"/>
      <c r="L259" s="248"/>
      <c r="M259" s="248"/>
      <c r="N259" s="248"/>
      <c r="O259" s="248"/>
      <c r="P259" s="248"/>
      <c r="Q259" s="299"/>
      <c r="R259" s="293"/>
      <c r="S259" s="247"/>
    </row>
    <row r="260" spans="2:19" x14ac:dyDescent="0.25">
      <c r="B260" s="246"/>
      <c r="C260" s="292"/>
      <c r="D260" s="248"/>
      <c r="E260" s="248"/>
      <c r="F260" s="248"/>
      <c r="G260" s="248"/>
      <c r="H260" s="248"/>
      <c r="I260" s="248"/>
      <c r="J260" s="248"/>
      <c r="K260" s="248"/>
      <c r="L260" s="248"/>
      <c r="M260" s="248"/>
      <c r="N260" s="248"/>
      <c r="O260" s="248"/>
      <c r="P260" s="248"/>
      <c r="Q260" s="248"/>
      <c r="R260" s="293"/>
      <c r="S260" s="247"/>
    </row>
    <row r="261" spans="2:19" ht="15" customHeight="1" x14ac:dyDescent="0.25">
      <c r="B261" s="246"/>
      <c r="C261" s="292"/>
      <c r="D261" s="248"/>
      <c r="E261" s="248"/>
      <c r="F261" s="248"/>
      <c r="G261" s="987" t="s">
        <v>307</v>
      </c>
      <c r="H261" s="989"/>
      <c r="I261" s="989"/>
      <c r="J261" s="988"/>
      <c r="K261" s="987" t="s">
        <v>165</v>
      </c>
      <c r="L261" s="988"/>
      <c r="M261" s="339" t="s">
        <v>139</v>
      </c>
      <c r="N261" s="339" t="s">
        <v>281</v>
      </c>
      <c r="O261" s="248"/>
      <c r="P261" s="248"/>
      <c r="Q261" s="248"/>
      <c r="R261" s="293"/>
      <c r="S261" s="247"/>
    </row>
    <row r="262" spans="2:19" x14ac:dyDescent="0.25">
      <c r="B262" s="246"/>
      <c r="C262" s="292"/>
      <c r="D262" s="248"/>
      <c r="E262" s="248"/>
      <c r="F262" s="248"/>
      <c r="G262" s="990" t="s">
        <v>210</v>
      </c>
      <c r="H262" s="991"/>
      <c r="I262" s="991"/>
      <c r="J262" s="992"/>
      <c r="K262" s="986" t="s">
        <v>282</v>
      </c>
      <c r="L262" s="986"/>
      <c r="M262" s="677"/>
      <c r="N262" s="362">
        <v>0.127</v>
      </c>
      <c r="O262" s="248"/>
      <c r="P262" s="248"/>
      <c r="Q262" s="248"/>
      <c r="R262" s="293"/>
      <c r="S262" s="247"/>
    </row>
    <row r="263" spans="2:19" x14ac:dyDescent="0.25">
      <c r="B263" s="246"/>
      <c r="C263" s="292"/>
      <c r="D263" s="248"/>
      <c r="E263" s="248"/>
      <c r="F263" s="248"/>
      <c r="G263" s="990" t="s">
        <v>211</v>
      </c>
      <c r="H263" s="991"/>
      <c r="I263" s="991"/>
      <c r="J263" s="992"/>
      <c r="K263" s="986" t="s">
        <v>283</v>
      </c>
      <c r="L263" s="986"/>
      <c r="M263" s="678"/>
      <c r="N263" s="356">
        <v>45</v>
      </c>
      <c r="O263" s="248"/>
      <c r="P263" s="248"/>
      <c r="Q263" s="248"/>
      <c r="R263" s="293"/>
      <c r="S263" s="247"/>
    </row>
    <row r="264" spans="2:19" x14ac:dyDescent="0.25">
      <c r="B264" s="246"/>
      <c r="C264" s="296"/>
      <c r="D264" s="297"/>
      <c r="E264" s="297"/>
      <c r="F264" s="297"/>
      <c r="G264" s="297"/>
      <c r="H264" s="297"/>
      <c r="I264" s="297"/>
      <c r="J264" s="297"/>
      <c r="K264" s="297"/>
      <c r="L264" s="297"/>
      <c r="M264" s="297"/>
      <c r="N264" s="297"/>
      <c r="O264" s="297"/>
      <c r="P264" s="297"/>
      <c r="Q264" s="297"/>
      <c r="R264" s="298"/>
      <c r="S264" s="247"/>
    </row>
    <row r="265" spans="2:19" ht="15.75" thickBot="1" x14ac:dyDescent="0.3">
      <c r="B265" s="317"/>
      <c r="C265" s="318"/>
      <c r="D265" s="318"/>
      <c r="E265" s="318"/>
      <c r="F265" s="318"/>
      <c r="G265" s="318"/>
      <c r="H265" s="318"/>
      <c r="I265" s="318"/>
      <c r="J265" s="318"/>
      <c r="K265" s="318"/>
      <c r="L265" s="318"/>
      <c r="M265" s="318"/>
      <c r="N265" s="318"/>
      <c r="O265" s="318"/>
      <c r="P265" s="318"/>
      <c r="Q265" s="318"/>
      <c r="R265" s="318"/>
      <c r="S265" s="319"/>
    </row>
    <row r="266" spans="2:19" s="238" customFormat="1" ht="15.75" thickBot="1" x14ac:dyDescent="0.3">
      <c r="C266" s="320"/>
      <c r="D266" s="320"/>
      <c r="E266" s="320"/>
      <c r="F266" s="320"/>
      <c r="G266" s="320"/>
      <c r="H266" s="320"/>
      <c r="I266" s="320"/>
      <c r="J266" s="320"/>
      <c r="K266" s="320"/>
      <c r="L266" s="320"/>
      <c r="M266" s="320"/>
      <c r="N266" s="320"/>
      <c r="O266" s="320"/>
      <c r="P266" s="320"/>
      <c r="Q266" s="320"/>
    </row>
    <row r="267" spans="2:19" x14ac:dyDescent="0.25">
      <c r="B267" s="242"/>
      <c r="C267" s="243"/>
      <c r="D267" s="243"/>
      <c r="E267" s="243"/>
      <c r="F267" s="243"/>
      <c r="G267" s="243"/>
      <c r="H267" s="243"/>
      <c r="I267" s="243"/>
      <c r="J267" s="243"/>
      <c r="K267" s="243"/>
      <c r="L267" s="243"/>
      <c r="M267" s="243"/>
      <c r="N267" s="243"/>
      <c r="O267" s="243"/>
      <c r="P267" s="243"/>
      <c r="Q267" s="243"/>
      <c r="R267" s="243"/>
      <c r="S267" s="244"/>
    </row>
    <row r="268" spans="2:19" x14ac:dyDescent="0.25">
      <c r="B268" s="246"/>
      <c r="C268" s="248"/>
      <c r="D268" s="248"/>
      <c r="E268" s="248"/>
      <c r="F268" s="248"/>
      <c r="G268" s="248"/>
      <c r="H268" s="248"/>
      <c r="I268" s="248"/>
      <c r="J268" s="248"/>
      <c r="K268" s="248"/>
      <c r="L268" s="248"/>
      <c r="M268" s="248"/>
      <c r="N268" s="248"/>
      <c r="O268" s="248"/>
      <c r="P268" s="248"/>
      <c r="Q268" s="248"/>
      <c r="R268" s="248"/>
      <c r="S268" s="247"/>
    </row>
    <row r="269" spans="2:19" ht="23.25" x14ac:dyDescent="0.25">
      <c r="B269" s="246"/>
      <c r="C269" s="942" t="s">
        <v>366</v>
      </c>
      <c r="D269" s="942"/>
      <c r="E269" s="942"/>
      <c r="F269" s="942"/>
      <c r="G269" s="942"/>
      <c r="H269" s="942"/>
      <c r="I269" s="942"/>
      <c r="J269" s="942"/>
      <c r="K269" s="942"/>
      <c r="L269" s="942"/>
      <c r="M269" s="942"/>
      <c r="N269" s="942"/>
      <c r="O269" s="942"/>
      <c r="P269" s="942"/>
      <c r="Q269" s="942"/>
      <c r="R269" s="942"/>
      <c r="S269" s="247"/>
    </row>
    <row r="270" spans="2:19" x14ac:dyDescent="0.25">
      <c r="B270" s="246"/>
      <c r="C270" s="248"/>
      <c r="D270" s="248"/>
      <c r="E270" s="248"/>
      <c r="F270" s="248"/>
      <c r="G270" s="248"/>
      <c r="H270" s="248"/>
      <c r="I270" s="248"/>
      <c r="J270" s="248"/>
      <c r="K270" s="248"/>
      <c r="L270" s="248"/>
      <c r="M270" s="248"/>
      <c r="N270" s="248"/>
      <c r="O270" s="248"/>
      <c r="P270" s="248"/>
      <c r="Q270" s="248"/>
      <c r="R270" s="248"/>
      <c r="S270" s="247"/>
    </row>
    <row r="271" spans="2:19" x14ac:dyDescent="0.25">
      <c r="B271" s="246"/>
      <c r="C271" s="248"/>
      <c r="D271" s="248"/>
      <c r="E271" s="248"/>
      <c r="F271" s="248"/>
      <c r="G271" s="248"/>
      <c r="H271" s="248"/>
      <c r="I271" s="248"/>
      <c r="J271" s="248"/>
      <c r="K271" s="248"/>
      <c r="L271" s="248"/>
      <c r="M271" s="248"/>
      <c r="N271" s="248"/>
      <c r="O271" s="248"/>
      <c r="P271" s="248"/>
      <c r="Q271" s="248"/>
      <c r="R271" s="248"/>
      <c r="S271" s="247"/>
    </row>
    <row r="272" spans="2:19" ht="18.75" x14ac:dyDescent="0.25">
      <c r="B272" s="246"/>
      <c r="C272" s="248"/>
      <c r="D272" s="248"/>
      <c r="E272" s="939" t="s">
        <v>367</v>
      </c>
      <c r="F272" s="939"/>
      <c r="G272" s="939"/>
      <c r="H272" s="939"/>
      <c r="I272" s="939"/>
      <c r="J272" s="939"/>
      <c r="K272" s="939"/>
      <c r="L272" s="939"/>
      <c r="M272" s="939"/>
      <c r="N272" s="939"/>
      <c r="O272" s="939"/>
      <c r="P272" s="939"/>
      <c r="Q272" s="248"/>
      <c r="R272" s="248"/>
      <c r="S272" s="247"/>
    </row>
    <row r="273" spans="2:19" ht="33.75" customHeight="1" x14ac:dyDescent="0.25">
      <c r="B273" s="246"/>
      <c r="C273" s="248"/>
      <c r="D273" s="248"/>
      <c r="E273" s="303" t="s">
        <v>509</v>
      </c>
      <c r="F273" s="248"/>
      <c r="G273" s="248"/>
      <c r="H273" s="248"/>
      <c r="I273" s="248"/>
      <c r="J273" s="248"/>
      <c r="K273" s="248"/>
      <c r="L273" s="248"/>
      <c r="M273" s="248"/>
      <c r="N273" s="248"/>
      <c r="O273" s="248"/>
      <c r="P273" s="248"/>
      <c r="Q273" s="248"/>
      <c r="R273" s="248"/>
      <c r="S273" s="247"/>
    </row>
    <row r="274" spans="2:19" x14ac:dyDescent="0.25">
      <c r="B274" s="246"/>
      <c r="C274" s="248"/>
      <c r="D274" s="248"/>
      <c r="E274" s="983" t="s">
        <v>702</v>
      </c>
      <c r="F274" s="983"/>
      <c r="G274" s="983"/>
      <c r="H274" s="248"/>
      <c r="I274" s="248"/>
      <c r="J274" s="248"/>
      <c r="K274" s="248"/>
      <c r="L274" s="248"/>
      <c r="M274" s="983" t="s">
        <v>701</v>
      </c>
      <c r="N274" s="983"/>
      <c r="O274" s="983"/>
      <c r="P274" s="248"/>
      <c r="Q274" s="248"/>
      <c r="R274" s="248"/>
      <c r="S274" s="247"/>
    </row>
    <row r="275" spans="2:19" x14ac:dyDescent="0.25">
      <c r="B275" s="246"/>
      <c r="C275" s="248"/>
      <c r="D275" s="248"/>
      <c r="E275" s="346" t="s">
        <v>73</v>
      </c>
      <c r="F275" s="339" t="s">
        <v>139</v>
      </c>
      <c r="G275" s="339" t="s">
        <v>281</v>
      </c>
      <c r="H275" s="248"/>
      <c r="I275" s="248"/>
      <c r="J275" s="248"/>
      <c r="K275" s="248"/>
      <c r="L275" s="248"/>
      <c r="M275" s="346" t="s">
        <v>73</v>
      </c>
      <c r="N275" s="339" t="s">
        <v>139</v>
      </c>
      <c r="O275" s="339" t="s">
        <v>281</v>
      </c>
      <c r="P275" s="248"/>
      <c r="Q275" s="248"/>
      <c r="R275" s="248"/>
      <c r="S275" s="247"/>
    </row>
    <row r="276" spans="2:19" x14ac:dyDescent="0.25">
      <c r="B276" s="246"/>
      <c r="C276" s="248"/>
      <c r="D276" s="248"/>
      <c r="E276" s="419" t="s">
        <v>3</v>
      </c>
      <c r="F276" s="681"/>
      <c r="G276" s="363">
        <f>+IF('Datos Generales'!$K$11="Moneda local",Referencias!E181,Referencias!C181)</f>
        <v>72.902503836494262</v>
      </c>
      <c r="H276" s="248"/>
      <c r="I276" s="248"/>
      <c r="J276" s="248"/>
      <c r="K276" s="248"/>
      <c r="L276" s="248"/>
      <c r="M276" s="419" t="s">
        <v>3</v>
      </c>
      <c r="N276" s="679"/>
      <c r="O276" s="363">
        <f>+IF('Datos Generales'!$K$11="Moneda local",Referencias!E191,Referencias!C191)</f>
        <v>36.451251918247131</v>
      </c>
      <c r="P276" s="248"/>
      <c r="Q276" s="248"/>
      <c r="R276" s="248"/>
      <c r="S276" s="247"/>
    </row>
    <row r="277" spans="2:19" x14ac:dyDescent="0.25">
      <c r="B277" s="246"/>
      <c r="C277" s="248"/>
      <c r="D277" s="248"/>
      <c r="E277" s="419" t="s">
        <v>4</v>
      </c>
      <c r="F277" s="681"/>
      <c r="G277" s="363">
        <f>+IF('Datos Generales'!$K$11="Moneda local",Referencias!E182,Referencias!C182)</f>
        <v>25.515876342772994</v>
      </c>
      <c r="H277" s="248"/>
      <c r="I277" s="248"/>
      <c r="J277" s="248"/>
      <c r="K277" s="248"/>
      <c r="L277" s="248"/>
      <c r="M277" s="419" t="s">
        <v>4</v>
      </c>
      <c r="N277" s="679"/>
      <c r="O277" s="363">
        <f>+IF('Datos Generales'!$K$11="Moneda local",Referencias!E192,Referencias!C192)</f>
        <v>18.225625959123565</v>
      </c>
      <c r="P277" s="248"/>
      <c r="Q277" s="248"/>
      <c r="R277" s="248"/>
      <c r="S277" s="247"/>
    </row>
    <row r="278" spans="2:19" x14ac:dyDescent="0.25">
      <c r="B278" s="246"/>
      <c r="C278" s="248"/>
      <c r="D278" s="248"/>
      <c r="E278" s="419" t="s">
        <v>6</v>
      </c>
      <c r="F278" s="681"/>
      <c r="G278" s="363">
        <f>+IF('Datos Generales'!$K$11="Moneda local",Referencias!E183,Referencias!C183)</f>
        <v>29.161001534597705</v>
      </c>
      <c r="H278" s="248"/>
      <c r="I278" s="248"/>
      <c r="J278" s="248"/>
      <c r="K278" s="248"/>
      <c r="L278" s="248"/>
      <c r="M278" s="419" t="s">
        <v>6</v>
      </c>
      <c r="N278" s="679"/>
      <c r="O278" s="363">
        <f>+IF('Datos Generales'!$K$11="Moneda local",Referencias!E193,Referencias!C193)</f>
        <v>18.225625959123565</v>
      </c>
      <c r="P278" s="248"/>
      <c r="Q278" s="248"/>
      <c r="R278" s="248"/>
      <c r="S278" s="247"/>
    </row>
    <row r="279" spans="2:19" x14ac:dyDescent="0.25">
      <c r="B279" s="246"/>
      <c r="C279" s="248"/>
      <c r="D279" s="248"/>
      <c r="E279" s="419" t="s">
        <v>5</v>
      </c>
      <c r="F279" s="681"/>
      <c r="G279" s="363">
        <f>+IF('Datos Generales'!$K$11="Moneda local",Referencias!E184,Referencias!C184)</f>
        <v>45.564064897808919</v>
      </c>
      <c r="H279" s="248"/>
      <c r="I279" s="248"/>
      <c r="J279" s="248"/>
      <c r="K279" s="248"/>
      <c r="L279" s="248"/>
      <c r="M279" s="419" t="s">
        <v>5</v>
      </c>
      <c r="N279" s="679"/>
      <c r="O279" s="363">
        <f>+IF('Datos Generales'!$K$11="Moneda local",Referencias!E194,Referencias!C194)</f>
        <v>36.451251918247131</v>
      </c>
      <c r="P279" s="248"/>
      <c r="Q279" s="248"/>
      <c r="R279" s="248"/>
      <c r="S279" s="247"/>
    </row>
    <row r="280" spans="2:19" x14ac:dyDescent="0.25">
      <c r="B280" s="246"/>
      <c r="C280" s="248"/>
      <c r="D280" s="248"/>
      <c r="E280" s="419" t="s">
        <v>7</v>
      </c>
      <c r="F280" s="681"/>
      <c r="G280" s="363">
        <f>+IF('Datos Generales'!$K$11="Moneda local",Referencias!E185,Referencias!C185)</f>
        <v>61.967128261020129</v>
      </c>
      <c r="H280" s="248"/>
      <c r="I280" s="248"/>
      <c r="J280" s="248"/>
      <c r="K280" s="248"/>
      <c r="L280" s="248"/>
      <c r="M280" s="419" t="s">
        <v>7</v>
      </c>
      <c r="N280" s="679"/>
      <c r="O280" s="363">
        <f>+IF('Datos Generales'!$K$11="Moneda local",Referencias!E195,Referencias!C195)</f>
        <v>54.6768778773707</v>
      </c>
      <c r="P280" s="248"/>
      <c r="Q280" s="248"/>
      <c r="R280" s="248"/>
      <c r="S280" s="247"/>
    </row>
    <row r="281" spans="2:19" x14ac:dyDescent="0.25">
      <c r="B281" s="246"/>
      <c r="C281" s="248"/>
      <c r="D281" s="248"/>
      <c r="E281" s="419" t="s">
        <v>72</v>
      </c>
      <c r="F281" s="681"/>
      <c r="G281" s="363">
        <f>+IF('Datos Generales'!$K$11="Moneda local",Referencias!E186,Referencias!C186)</f>
        <v>12.757938171386497</v>
      </c>
      <c r="H281" s="248"/>
      <c r="I281" s="248"/>
      <c r="J281" s="248"/>
      <c r="K281" s="248"/>
      <c r="L281" s="248"/>
      <c r="M281" s="419" t="s">
        <v>72</v>
      </c>
      <c r="N281" s="679"/>
      <c r="O281" s="363">
        <f>+IF('Datos Generales'!$K$11="Moneda local",Referencias!E196,Referencias!C196)</f>
        <v>9.1128129795617827</v>
      </c>
      <c r="P281" s="248"/>
      <c r="Q281" s="248"/>
      <c r="R281" s="248"/>
      <c r="S281" s="247"/>
    </row>
    <row r="282" spans="2:19" x14ac:dyDescent="0.25">
      <c r="B282" s="246"/>
      <c r="C282" s="248"/>
      <c r="D282" s="248"/>
      <c r="E282" s="248"/>
      <c r="F282" s="248"/>
      <c r="G282" s="248"/>
      <c r="H282" s="248"/>
      <c r="I282" s="248"/>
      <c r="J282" s="248"/>
      <c r="K282" s="248"/>
      <c r="L282" s="248"/>
      <c r="M282" s="248"/>
      <c r="N282" s="248"/>
      <c r="O282" s="248"/>
      <c r="P282" s="248"/>
      <c r="Q282" s="248"/>
      <c r="R282" s="248"/>
      <c r="S282" s="247"/>
    </row>
    <row r="283" spans="2:19" x14ac:dyDescent="0.25">
      <c r="B283" s="246"/>
      <c r="C283" s="248"/>
      <c r="D283" s="248"/>
      <c r="E283" s="248"/>
      <c r="F283" s="248"/>
      <c r="G283" s="248"/>
      <c r="H283" s="248"/>
      <c r="I283" s="248"/>
      <c r="J283" s="248"/>
      <c r="K283" s="248"/>
      <c r="L283" s="248"/>
      <c r="M283" s="248"/>
      <c r="N283" s="248"/>
      <c r="O283" s="248"/>
      <c r="P283" s="248"/>
      <c r="Q283" s="248"/>
      <c r="R283" s="248"/>
      <c r="S283" s="247"/>
    </row>
    <row r="284" spans="2:19" x14ac:dyDescent="0.25">
      <c r="B284" s="246"/>
      <c r="C284" s="248"/>
      <c r="D284" s="248"/>
      <c r="E284" s="248"/>
      <c r="F284" s="248"/>
      <c r="G284" s="248"/>
      <c r="H284" s="248"/>
      <c r="I284" s="248"/>
      <c r="J284" s="248"/>
      <c r="K284" s="248"/>
      <c r="L284" s="248"/>
      <c r="M284" s="248"/>
      <c r="N284" s="248"/>
      <c r="O284" s="248"/>
      <c r="P284" s="248"/>
      <c r="Q284" s="248"/>
      <c r="R284" s="248"/>
      <c r="S284" s="247"/>
    </row>
    <row r="285" spans="2:19" ht="18.75" x14ac:dyDescent="0.25">
      <c r="B285" s="246"/>
      <c r="C285" s="248"/>
      <c r="D285" s="248"/>
      <c r="E285" s="939" t="s">
        <v>704</v>
      </c>
      <c r="F285" s="939"/>
      <c r="G285" s="939"/>
      <c r="H285" s="939"/>
      <c r="I285" s="939"/>
      <c r="J285" s="939"/>
      <c r="K285" s="939"/>
      <c r="L285" s="939"/>
      <c r="M285" s="939"/>
      <c r="N285" s="939"/>
      <c r="O285" s="939"/>
      <c r="P285" s="939"/>
      <c r="Q285" s="248"/>
      <c r="R285" s="248"/>
      <c r="S285" s="247"/>
    </row>
    <row r="286" spans="2:19" ht="29.25" customHeight="1" x14ac:dyDescent="0.25">
      <c r="B286" s="246"/>
      <c r="C286" s="248"/>
      <c r="D286" s="248"/>
      <c r="E286" s="303" t="s">
        <v>510</v>
      </c>
      <c r="F286" s="248"/>
      <c r="G286" s="248"/>
      <c r="H286" s="248"/>
      <c r="I286" s="248"/>
      <c r="J286" s="248"/>
      <c r="K286" s="248"/>
      <c r="L286" s="248"/>
      <c r="M286" s="248"/>
      <c r="N286" s="248"/>
      <c r="O286" s="248"/>
      <c r="P286" s="248"/>
      <c r="Q286" s="248"/>
      <c r="R286" s="248"/>
      <c r="S286" s="247"/>
    </row>
    <row r="287" spans="2:19" x14ac:dyDescent="0.25">
      <c r="B287" s="246"/>
      <c r="C287" s="248"/>
      <c r="D287" s="248"/>
      <c r="E287" s="410" t="s">
        <v>371</v>
      </c>
      <c r="F287" s="248"/>
      <c r="G287" s="234"/>
      <c r="H287" s="248"/>
      <c r="I287" s="248"/>
      <c r="J287" s="248"/>
      <c r="K287" s="410" t="s">
        <v>372</v>
      </c>
      <c r="L287" s="248"/>
      <c r="M287" s="248"/>
      <c r="N287" s="234"/>
      <c r="O287" s="248"/>
      <c r="P287" s="248"/>
      <c r="Q287" s="248"/>
      <c r="R287" s="248"/>
      <c r="S287" s="247"/>
    </row>
    <row r="288" spans="2:19" x14ac:dyDescent="0.25">
      <c r="B288" s="246"/>
      <c r="C288" s="248"/>
      <c r="D288" s="248"/>
      <c r="E288" s="248"/>
      <c r="F288" s="248"/>
      <c r="G288" s="248"/>
      <c r="H288" s="248"/>
      <c r="I288" s="248"/>
      <c r="J288" s="248"/>
      <c r="K288" s="248"/>
      <c r="L288" s="248"/>
      <c r="M288" s="248"/>
      <c r="N288" s="248"/>
      <c r="O288" s="248"/>
      <c r="P288" s="248"/>
      <c r="Q288" s="248"/>
      <c r="R288" s="248"/>
      <c r="S288" s="247"/>
    </row>
    <row r="289" spans="2:19" x14ac:dyDescent="0.25">
      <c r="B289" s="246"/>
      <c r="C289" s="248"/>
      <c r="D289" s="248"/>
      <c r="E289" s="248"/>
      <c r="F289" s="248"/>
      <c r="G289" s="248"/>
      <c r="H289" s="248"/>
      <c r="I289" s="248"/>
      <c r="J289" s="248"/>
      <c r="K289" s="248"/>
      <c r="L289" s="248"/>
      <c r="M289" s="248"/>
      <c r="N289" s="248"/>
      <c r="O289" s="248"/>
      <c r="P289" s="248"/>
      <c r="Q289" s="248"/>
      <c r="R289" s="248"/>
      <c r="S289" s="247"/>
    </row>
    <row r="290" spans="2:19" x14ac:dyDescent="0.25">
      <c r="B290" s="246"/>
      <c r="C290" s="248"/>
      <c r="D290" s="248"/>
      <c r="E290" s="248"/>
      <c r="F290" s="248"/>
      <c r="G290" s="248"/>
      <c r="H290" s="248"/>
      <c r="I290" s="248"/>
      <c r="J290" s="248"/>
      <c r="K290" s="248"/>
      <c r="L290" s="248"/>
      <c r="M290" s="248"/>
      <c r="N290" s="248"/>
      <c r="O290" s="248"/>
      <c r="P290" s="248"/>
      <c r="Q290" s="248"/>
      <c r="R290" s="248"/>
      <c r="S290" s="247"/>
    </row>
    <row r="291" spans="2:19" x14ac:dyDescent="0.25">
      <c r="B291" s="246"/>
      <c r="C291" s="248"/>
      <c r="D291" s="248"/>
      <c r="E291" s="248"/>
      <c r="F291" s="248"/>
      <c r="G291" s="248"/>
      <c r="H291" s="248"/>
      <c r="I291" s="248"/>
      <c r="J291" s="248"/>
      <c r="K291" s="248"/>
      <c r="L291" s="248"/>
      <c r="M291" s="248"/>
      <c r="N291" s="248"/>
      <c r="O291" s="248"/>
      <c r="P291" s="248"/>
      <c r="Q291" s="248"/>
      <c r="R291" s="248"/>
      <c r="S291" s="247"/>
    </row>
    <row r="292" spans="2:19" ht="18.75" x14ac:dyDescent="0.25">
      <c r="B292" s="246"/>
      <c r="C292" s="248"/>
      <c r="D292" s="248"/>
      <c r="E292" s="939" t="s">
        <v>373</v>
      </c>
      <c r="F292" s="939"/>
      <c r="G292" s="939"/>
      <c r="H292" s="939"/>
      <c r="I292" s="939"/>
      <c r="J292" s="939"/>
      <c r="K292" s="939"/>
      <c r="L292" s="939"/>
      <c r="M292" s="939"/>
      <c r="N292" s="939"/>
      <c r="O292" s="939"/>
      <c r="P292" s="939"/>
      <c r="Q292" s="248"/>
      <c r="R292" s="248"/>
      <c r="S292" s="247"/>
    </row>
    <row r="293" spans="2:19" ht="31.5" customHeight="1" x14ac:dyDescent="0.25">
      <c r="B293" s="246"/>
      <c r="C293" s="248"/>
      <c r="D293" s="248"/>
      <c r="E293" s="303" t="s">
        <v>511</v>
      </c>
      <c r="F293" s="248"/>
      <c r="G293" s="248"/>
      <c r="H293" s="248"/>
      <c r="I293" s="248"/>
      <c r="J293" s="248"/>
      <c r="K293" s="248"/>
      <c r="L293" s="248"/>
      <c r="M293" s="248"/>
      <c r="N293" s="248"/>
      <c r="O293" s="248"/>
      <c r="P293" s="248"/>
      <c r="Q293" s="248"/>
      <c r="R293" s="248"/>
      <c r="S293" s="247"/>
    </row>
    <row r="294" spans="2:19" x14ac:dyDescent="0.25">
      <c r="B294" s="246"/>
      <c r="C294" s="248"/>
      <c r="D294" s="248"/>
      <c r="E294" s="410" t="s">
        <v>374</v>
      </c>
      <c r="F294" s="248"/>
      <c r="G294" s="248"/>
      <c r="H294" s="248"/>
      <c r="I294" s="248"/>
      <c r="J294" s="248"/>
      <c r="K294" s="248"/>
      <c r="L294" s="410" t="str">
        <f>+IF(OR('C.Recicladores'!C209=TRUE,'C.Recicladores'!C211=TRUE),"Variable ($/ton)","")</f>
        <v>Variable ($/ton)</v>
      </c>
      <c r="M294" s="410"/>
      <c r="N294" s="234"/>
      <c r="O294" s="248"/>
      <c r="P294" s="248"/>
      <c r="Q294" s="248"/>
      <c r="R294" s="248"/>
      <c r="S294" s="247"/>
    </row>
    <row r="295" spans="2:19" x14ac:dyDescent="0.25">
      <c r="B295" s="246"/>
      <c r="C295" s="248"/>
      <c r="D295" s="248"/>
      <c r="E295" s="410" t="s">
        <v>375</v>
      </c>
      <c r="F295" s="248"/>
      <c r="G295" s="248"/>
      <c r="H295" s="248"/>
      <c r="I295" s="248"/>
      <c r="J295" s="248"/>
      <c r="K295" s="248"/>
      <c r="L295" s="410"/>
      <c r="M295" s="410"/>
      <c r="N295" s="248"/>
      <c r="O295" s="248"/>
      <c r="P295" s="248"/>
      <c r="Q295" s="248"/>
      <c r="R295" s="248"/>
      <c r="S295" s="247"/>
    </row>
    <row r="296" spans="2:19" x14ac:dyDescent="0.25">
      <c r="B296" s="246"/>
      <c r="C296" s="248"/>
      <c r="D296" s="248"/>
      <c r="E296" s="410" t="s">
        <v>376</v>
      </c>
      <c r="F296" s="248"/>
      <c r="G296" s="248"/>
      <c r="H296" s="248"/>
      <c r="I296" s="248"/>
      <c r="J296" s="248"/>
      <c r="K296" s="248"/>
      <c r="L296" s="410" t="s">
        <v>378</v>
      </c>
      <c r="M296" s="410"/>
      <c r="N296" s="234"/>
      <c r="O296" s="248"/>
      <c r="P296" s="248"/>
      <c r="Q296" s="248"/>
      <c r="R296" s="248"/>
      <c r="S296" s="247"/>
    </row>
    <row r="297" spans="2:19" x14ac:dyDescent="0.25">
      <c r="B297" s="246"/>
      <c r="C297" s="248"/>
      <c r="D297" s="248"/>
      <c r="E297" s="248"/>
      <c r="F297" s="248"/>
      <c r="G297" s="248"/>
      <c r="H297" s="248"/>
      <c r="I297" s="248"/>
      <c r="J297" s="248"/>
      <c r="K297" s="248"/>
      <c r="L297" s="248"/>
      <c r="M297" s="248"/>
      <c r="N297" s="248"/>
      <c r="O297" s="248"/>
      <c r="P297" s="248"/>
      <c r="Q297" s="248"/>
      <c r="R297" s="248"/>
      <c r="S297" s="247"/>
    </row>
    <row r="298" spans="2:19" ht="15.75" thickBot="1" x14ac:dyDescent="0.3">
      <c r="B298" s="317"/>
      <c r="C298" s="318"/>
      <c r="D298" s="318"/>
      <c r="E298" s="318"/>
      <c r="F298" s="318"/>
      <c r="G298" s="318"/>
      <c r="H298" s="318"/>
      <c r="I298" s="318"/>
      <c r="J298" s="318"/>
      <c r="K298" s="318"/>
      <c r="L298" s="318"/>
      <c r="M298" s="318"/>
      <c r="N298" s="318"/>
      <c r="O298" s="318"/>
      <c r="P298" s="318"/>
      <c r="Q298" s="318"/>
      <c r="R298" s="318"/>
      <c r="S298" s="319"/>
    </row>
    <row r="299" spans="2:19" s="238" customFormat="1" x14ac:dyDescent="0.25"/>
    <row r="300" spans="2:19" s="238" customFormat="1" x14ac:dyDescent="0.25"/>
    <row r="301" spans="2:19" s="238" customFormat="1" x14ac:dyDescent="0.25"/>
    <row r="302" spans="2:19" s="238" customFormat="1" x14ac:dyDescent="0.25"/>
    <row r="303" spans="2:19" s="238" customFormat="1" x14ac:dyDescent="0.25"/>
    <row r="304" spans="2:19" s="238" customFormat="1" x14ac:dyDescent="0.25"/>
    <row r="305" s="238" customFormat="1" x14ac:dyDescent="0.25"/>
    <row r="306" s="238" customFormat="1" x14ac:dyDescent="0.25"/>
    <row r="307" s="238" customFormat="1" x14ac:dyDescent="0.25"/>
    <row r="308" s="238" customFormat="1" x14ac:dyDescent="0.25"/>
    <row r="309" s="238" customFormat="1" x14ac:dyDescent="0.25"/>
    <row r="310" s="238" customFormat="1" x14ac:dyDescent="0.25"/>
    <row r="311" s="238" customFormat="1" x14ac:dyDescent="0.25"/>
    <row r="312" s="238" customFormat="1" x14ac:dyDescent="0.25"/>
    <row r="313" s="238" customFormat="1" x14ac:dyDescent="0.25"/>
    <row r="314" s="238" customFormat="1" x14ac:dyDescent="0.25"/>
    <row r="315" s="238" customFormat="1" x14ac:dyDescent="0.25"/>
    <row r="316" s="238" customFormat="1" x14ac:dyDescent="0.25"/>
    <row r="317" s="238" customFormat="1" x14ac:dyDescent="0.25"/>
    <row r="318" s="238" customFormat="1" x14ac:dyDescent="0.25"/>
    <row r="319" s="238" customFormat="1" x14ac:dyDescent="0.25"/>
    <row r="320" s="238" customFormat="1" x14ac:dyDescent="0.25"/>
    <row r="321" s="238" customFormat="1" x14ac:dyDescent="0.25"/>
    <row r="322" s="238" customFormat="1" x14ac:dyDescent="0.25"/>
    <row r="323" s="238" customFormat="1" x14ac:dyDescent="0.25"/>
    <row r="324" s="238" customFormat="1" x14ac:dyDescent="0.25"/>
    <row r="325" s="238" customFormat="1" x14ac:dyDescent="0.25"/>
    <row r="326" s="238" customFormat="1" x14ac:dyDescent="0.25"/>
    <row r="327" s="238" customFormat="1" x14ac:dyDescent="0.25"/>
    <row r="328" s="238" customFormat="1" x14ac:dyDescent="0.25"/>
    <row r="329" s="238" customFormat="1" x14ac:dyDescent="0.25"/>
    <row r="330" s="238" customFormat="1" x14ac:dyDescent="0.25"/>
    <row r="331" s="238" customFormat="1" x14ac:dyDescent="0.25"/>
    <row r="332" s="238" customFormat="1" x14ac:dyDescent="0.25"/>
    <row r="333" s="238" customFormat="1" x14ac:dyDescent="0.25"/>
    <row r="334" s="238" customFormat="1" x14ac:dyDescent="0.25"/>
    <row r="335" s="238" customFormat="1" x14ac:dyDescent="0.25"/>
    <row r="336" s="238" customFormat="1" x14ac:dyDescent="0.25"/>
    <row r="337" s="238" customFormat="1" x14ac:dyDescent="0.25"/>
    <row r="338" s="238" customFormat="1" x14ac:dyDescent="0.25"/>
    <row r="339" s="238" customFormat="1" x14ac:dyDescent="0.25"/>
    <row r="340" s="238" customFormat="1" x14ac:dyDescent="0.25"/>
    <row r="341" s="238" customFormat="1" x14ac:dyDescent="0.25"/>
    <row r="342" s="238" customFormat="1" x14ac:dyDescent="0.25"/>
    <row r="343" s="238" customFormat="1" x14ac:dyDescent="0.25"/>
    <row r="344" s="238" customFormat="1" x14ac:dyDescent="0.25"/>
    <row r="345" s="238" customFormat="1" x14ac:dyDescent="0.25"/>
    <row r="346" s="238" customFormat="1" x14ac:dyDescent="0.25"/>
    <row r="347" s="238" customFormat="1" x14ac:dyDescent="0.25"/>
    <row r="348" s="238" customFormat="1" x14ac:dyDescent="0.25"/>
    <row r="349" s="238" customFormat="1" x14ac:dyDescent="0.25"/>
    <row r="350" s="238" customFormat="1" x14ac:dyDescent="0.25"/>
    <row r="351" s="238" customFormat="1" x14ac:dyDescent="0.25"/>
    <row r="352" s="238" customFormat="1" x14ac:dyDescent="0.25"/>
    <row r="353" s="238" customFormat="1" x14ac:dyDescent="0.25"/>
    <row r="354" s="238" customFormat="1" x14ac:dyDescent="0.25"/>
    <row r="355" s="238" customFormat="1" x14ac:dyDescent="0.25"/>
    <row r="356" s="238" customFormat="1" x14ac:dyDescent="0.25"/>
    <row r="357" s="238" customFormat="1" x14ac:dyDescent="0.25"/>
    <row r="358" s="238" customFormat="1" x14ac:dyDescent="0.25"/>
    <row r="359" s="238" customFormat="1" x14ac:dyDescent="0.25"/>
    <row r="360" s="238" customFormat="1" x14ac:dyDescent="0.25"/>
    <row r="361" s="238" customFormat="1" x14ac:dyDescent="0.25"/>
    <row r="362" s="238" customFormat="1" x14ac:dyDescent="0.25"/>
    <row r="363" s="238" customFormat="1" x14ac:dyDescent="0.25"/>
    <row r="364" s="238" customFormat="1" x14ac:dyDescent="0.25"/>
    <row r="365" s="238" customFormat="1" x14ac:dyDescent="0.25"/>
    <row r="366" s="238" customFormat="1" x14ac:dyDescent="0.25"/>
    <row r="367" s="238" customFormat="1" x14ac:dyDescent="0.25"/>
    <row r="368" s="238" customFormat="1" x14ac:dyDescent="0.25"/>
    <row r="369" s="238" customFormat="1" x14ac:dyDescent="0.25"/>
    <row r="370" s="238" customFormat="1" x14ac:dyDescent="0.25"/>
    <row r="371" s="238" customFormat="1" x14ac:dyDescent="0.25"/>
    <row r="372" s="238" customFormat="1" x14ac:dyDescent="0.25"/>
    <row r="373" s="238" customFormat="1" x14ac:dyDescent="0.25"/>
    <row r="374" s="238" customFormat="1" x14ac:dyDescent="0.25"/>
    <row r="375" s="238" customFormat="1" x14ac:dyDescent="0.25"/>
    <row r="376" s="238" customFormat="1" x14ac:dyDescent="0.25"/>
    <row r="377" s="238" customFormat="1" x14ac:dyDescent="0.25"/>
    <row r="378" s="238" customFormat="1" x14ac:dyDescent="0.25"/>
    <row r="379" s="238" customFormat="1" x14ac:dyDescent="0.25"/>
    <row r="380" s="238" customFormat="1" x14ac:dyDescent="0.25"/>
    <row r="381" s="238" customFormat="1" x14ac:dyDescent="0.25"/>
    <row r="382" s="238" customFormat="1" x14ac:dyDescent="0.25"/>
    <row r="383" s="238" customFormat="1" x14ac:dyDescent="0.25"/>
    <row r="384" s="238" customFormat="1" x14ac:dyDescent="0.25"/>
    <row r="385" s="238" customFormat="1" x14ac:dyDescent="0.25"/>
    <row r="386" s="238" customFormat="1" x14ac:dyDescent="0.25"/>
    <row r="387" s="238" customFormat="1" x14ac:dyDescent="0.25"/>
    <row r="388" s="238" customFormat="1" x14ac:dyDescent="0.25"/>
    <row r="389" s="238" customFormat="1" x14ac:dyDescent="0.25"/>
    <row r="390" s="238" customFormat="1" x14ac:dyDescent="0.25"/>
    <row r="391" s="238" customFormat="1" x14ac:dyDescent="0.25"/>
    <row r="392" s="238" customFormat="1" x14ac:dyDescent="0.25"/>
    <row r="393" s="238" customFormat="1" x14ac:dyDescent="0.25"/>
    <row r="394" s="238" customFormat="1" x14ac:dyDescent="0.25"/>
    <row r="395" s="238" customFormat="1" x14ac:dyDescent="0.25"/>
    <row r="396" s="238" customFormat="1" x14ac:dyDescent="0.25"/>
    <row r="397" s="238" customFormat="1" x14ac:dyDescent="0.25"/>
    <row r="398" s="238" customFormat="1" x14ac:dyDescent="0.25"/>
    <row r="399" s="238" customFormat="1" x14ac:dyDescent="0.25"/>
    <row r="400" s="238" customFormat="1" x14ac:dyDescent="0.25"/>
    <row r="401" s="238" customFormat="1" x14ac:dyDescent="0.25"/>
    <row r="402" s="238" customFormat="1" x14ac:dyDescent="0.25"/>
    <row r="403" s="238" customFormat="1" x14ac:dyDescent="0.25"/>
    <row r="404" s="238" customFormat="1" x14ac:dyDescent="0.25"/>
    <row r="405" s="238" customFormat="1" x14ac:dyDescent="0.25"/>
    <row r="406" s="238" customFormat="1" x14ac:dyDescent="0.25"/>
    <row r="407" s="238" customFormat="1" x14ac:dyDescent="0.25"/>
    <row r="408" s="238" customFormat="1" x14ac:dyDescent="0.25"/>
    <row r="409" s="238" customFormat="1" x14ac:dyDescent="0.25"/>
    <row r="410" s="238" customFormat="1" x14ac:dyDescent="0.25"/>
    <row r="411" s="238" customFormat="1" x14ac:dyDescent="0.25"/>
    <row r="412" s="238" customFormat="1" x14ac:dyDescent="0.25"/>
    <row r="413" s="238" customFormat="1" x14ac:dyDescent="0.25"/>
    <row r="414" s="238" customFormat="1" x14ac:dyDescent="0.25"/>
    <row r="415" s="238" customFormat="1" x14ac:dyDescent="0.25"/>
    <row r="416" s="238" customFormat="1" x14ac:dyDescent="0.25"/>
    <row r="417" s="238" customFormat="1" x14ac:dyDescent="0.25"/>
    <row r="418" s="238" customFormat="1" x14ac:dyDescent="0.25"/>
    <row r="419" s="238" customFormat="1" x14ac:dyDescent="0.25"/>
    <row r="420" s="238" customFormat="1" x14ac:dyDescent="0.25"/>
    <row r="421" s="238" customFormat="1" x14ac:dyDescent="0.25"/>
    <row r="422" s="238" customFormat="1" x14ac:dyDescent="0.25"/>
    <row r="423" s="238" customFormat="1" x14ac:dyDescent="0.25"/>
    <row r="424" s="238" customFormat="1" x14ac:dyDescent="0.25"/>
    <row r="425" s="238" customFormat="1" x14ac:dyDescent="0.25"/>
    <row r="426" s="238" customFormat="1" x14ac:dyDescent="0.25"/>
    <row r="427" s="238" customFormat="1" x14ac:dyDescent="0.25"/>
    <row r="428" s="238" customFormat="1" x14ac:dyDescent="0.25"/>
    <row r="429" s="238" customFormat="1" x14ac:dyDescent="0.25"/>
    <row r="430" s="238" customFormat="1" x14ac:dyDescent="0.25"/>
    <row r="431" s="238" customFormat="1" x14ac:dyDescent="0.25"/>
    <row r="432" s="238" customFormat="1" x14ac:dyDescent="0.25"/>
    <row r="433" s="238" customFormat="1" x14ac:dyDescent="0.25"/>
    <row r="434" s="238" customFormat="1" x14ac:dyDescent="0.25"/>
    <row r="435" s="238" customFormat="1" x14ac:dyDescent="0.25"/>
    <row r="436" s="238" customFormat="1" x14ac:dyDescent="0.25"/>
    <row r="437" s="238" customFormat="1" x14ac:dyDescent="0.25"/>
    <row r="438" s="238" customFormat="1" x14ac:dyDescent="0.25"/>
    <row r="439" s="238" customFormat="1" x14ac:dyDescent="0.25"/>
    <row r="440" s="238" customFormat="1" x14ac:dyDescent="0.25"/>
    <row r="441" s="238" customFormat="1" x14ac:dyDescent="0.25"/>
    <row r="442" s="238" customFormat="1" x14ac:dyDescent="0.25"/>
    <row r="443" s="238" customFormat="1" x14ac:dyDescent="0.25"/>
    <row r="444" s="238" customFormat="1" x14ac:dyDescent="0.25"/>
    <row r="445" s="238" customFormat="1" x14ac:dyDescent="0.25"/>
    <row r="446" s="238" customFormat="1" x14ac:dyDescent="0.25"/>
    <row r="447" s="238" customFormat="1" x14ac:dyDescent="0.25"/>
    <row r="448" s="238" customFormat="1" x14ac:dyDescent="0.25"/>
    <row r="449" s="238" customFormat="1" x14ac:dyDescent="0.25"/>
    <row r="450" s="238" customFormat="1" x14ac:dyDescent="0.25"/>
    <row r="451" s="238" customFormat="1" x14ac:dyDescent="0.25"/>
    <row r="452" s="238" customFormat="1" x14ac:dyDescent="0.25"/>
    <row r="453" s="238" customFormat="1" x14ac:dyDescent="0.25"/>
    <row r="454" s="238" customFormat="1" x14ac:dyDescent="0.25"/>
    <row r="455" s="238" customFormat="1" x14ac:dyDescent="0.25"/>
    <row r="456" s="238" customFormat="1" x14ac:dyDescent="0.25"/>
    <row r="457" s="238" customFormat="1" x14ac:dyDescent="0.25"/>
    <row r="458" s="238" customFormat="1" x14ac:dyDescent="0.25"/>
    <row r="459" s="238" customFormat="1" x14ac:dyDescent="0.25"/>
    <row r="460" s="238" customFormat="1" x14ac:dyDescent="0.25"/>
    <row r="461" s="238" customFormat="1" x14ac:dyDescent="0.25"/>
    <row r="462" s="238" customFormat="1" x14ac:dyDescent="0.25"/>
    <row r="463" s="238" customFormat="1" x14ac:dyDescent="0.25"/>
    <row r="464" s="238" customFormat="1" x14ac:dyDescent="0.25"/>
    <row r="465" s="238" customFormat="1" x14ac:dyDescent="0.25"/>
    <row r="466" s="238" customFormat="1" x14ac:dyDescent="0.25"/>
    <row r="467" s="238" customFormat="1" x14ac:dyDescent="0.25"/>
    <row r="468" s="238" customFormat="1" x14ac:dyDescent="0.25"/>
    <row r="469" s="238" customFormat="1" x14ac:dyDescent="0.25"/>
    <row r="470" s="238" customFormat="1" x14ac:dyDescent="0.25"/>
    <row r="471" s="238" customFormat="1" x14ac:dyDescent="0.25"/>
    <row r="472" s="238" customFormat="1" x14ac:dyDescent="0.25"/>
    <row r="473" s="238" customFormat="1" x14ac:dyDescent="0.25"/>
    <row r="474" s="238" customFormat="1" x14ac:dyDescent="0.25"/>
    <row r="475" s="238" customFormat="1" x14ac:dyDescent="0.25"/>
    <row r="476" s="238" customFormat="1" x14ac:dyDescent="0.25"/>
    <row r="477" s="238" customFormat="1" x14ac:dyDescent="0.25"/>
    <row r="478" s="238" customFormat="1" x14ac:dyDescent="0.25"/>
    <row r="479" s="238" customFormat="1" x14ac:dyDescent="0.25"/>
    <row r="480" s="238" customFormat="1" x14ac:dyDescent="0.25"/>
    <row r="481" s="238" customFormat="1" x14ac:dyDescent="0.25"/>
    <row r="482" s="238" customFormat="1" x14ac:dyDescent="0.25"/>
    <row r="483" s="238" customFormat="1" x14ac:dyDescent="0.25"/>
    <row r="484" s="238" customFormat="1" x14ac:dyDescent="0.25"/>
    <row r="485" s="238" customFormat="1" x14ac:dyDescent="0.25"/>
    <row r="486" s="238" customFormat="1" x14ac:dyDescent="0.25"/>
    <row r="487" s="238" customFormat="1" x14ac:dyDescent="0.25"/>
    <row r="488" s="238" customFormat="1" x14ac:dyDescent="0.25"/>
    <row r="489" s="238" customFormat="1" x14ac:dyDescent="0.25"/>
    <row r="490" s="238" customFormat="1" x14ac:dyDescent="0.25"/>
    <row r="491" s="238" customFormat="1" x14ac:dyDescent="0.25"/>
    <row r="492" s="238" customFormat="1" x14ac:dyDescent="0.25"/>
    <row r="493" s="238" customFormat="1" x14ac:dyDescent="0.25"/>
    <row r="494" s="238" customFormat="1" x14ac:dyDescent="0.25"/>
    <row r="495" s="238" customFormat="1" x14ac:dyDescent="0.25"/>
    <row r="496" s="238" customFormat="1" x14ac:dyDescent="0.25"/>
    <row r="497" s="238" customFormat="1" x14ac:dyDescent="0.25"/>
    <row r="498" s="238" customFormat="1" x14ac:dyDescent="0.25"/>
    <row r="499" s="238" customFormat="1" x14ac:dyDescent="0.25"/>
    <row r="500" s="238" customFormat="1" x14ac:dyDescent="0.25"/>
    <row r="501" s="238" customFormat="1" x14ac:dyDescent="0.25"/>
    <row r="502" s="238" customFormat="1" x14ac:dyDescent="0.25"/>
    <row r="503" s="238" customFormat="1" x14ac:dyDescent="0.25"/>
    <row r="504" s="238" customFormat="1" x14ac:dyDescent="0.25"/>
    <row r="505" s="238" customFormat="1" x14ac:dyDescent="0.25"/>
    <row r="506" s="238" customFormat="1" x14ac:dyDescent="0.25"/>
    <row r="507" s="238" customFormat="1" x14ac:dyDescent="0.25"/>
    <row r="508" s="238" customFormat="1" x14ac:dyDescent="0.25"/>
    <row r="509" s="238" customFormat="1" x14ac:dyDescent="0.25"/>
    <row r="510" s="238" customFormat="1" x14ac:dyDescent="0.25"/>
    <row r="511" s="238" customFormat="1" x14ac:dyDescent="0.25"/>
    <row r="512" s="238" customFormat="1" x14ac:dyDescent="0.25"/>
    <row r="513" s="238" customFormat="1" x14ac:dyDescent="0.25"/>
    <row r="514" s="238" customFormat="1" x14ac:dyDescent="0.25"/>
    <row r="515" s="238" customFormat="1" x14ac:dyDescent="0.25"/>
    <row r="516" s="238" customFormat="1" x14ac:dyDescent="0.25"/>
    <row r="517" s="238" customFormat="1" x14ac:dyDescent="0.25"/>
    <row r="518" s="238" customFormat="1" x14ac:dyDescent="0.25"/>
    <row r="519" s="238" customFormat="1" x14ac:dyDescent="0.25"/>
    <row r="520" s="238" customFormat="1" x14ac:dyDescent="0.25"/>
    <row r="521" s="238" customFormat="1" x14ac:dyDescent="0.25"/>
    <row r="522" s="238" customFormat="1" x14ac:dyDescent="0.25"/>
    <row r="523" s="238" customFormat="1" x14ac:dyDescent="0.25"/>
    <row r="524" s="238" customFormat="1" x14ac:dyDescent="0.25"/>
    <row r="525" s="238" customFormat="1" x14ac:dyDescent="0.25"/>
    <row r="526" s="238" customFormat="1" x14ac:dyDescent="0.25"/>
    <row r="527" s="238" customFormat="1" x14ac:dyDescent="0.25"/>
    <row r="528" s="238" customFormat="1" x14ac:dyDescent="0.25"/>
    <row r="529" s="238" customFormat="1" x14ac:dyDescent="0.25"/>
    <row r="530" s="238" customFormat="1" x14ac:dyDescent="0.25"/>
    <row r="531" s="238" customFormat="1" x14ac:dyDescent="0.25"/>
    <row r="532" s="238" customFormat="1" x14ac:dyDescent="0.25"/>
    <row r="533" s="238" customFormat="1" x14ac:dyDescent="0.25"/>
    <row r="534" s="238" customFormat="1" x14ac:dyDescent="0.25"/>
    <row r="535" s="238" customFormat="1" x14ac:dyDescent="0.25"/>
    <row r="536" s="238" customFormat="1" x14ac:dyDescent="0.25"/>
    <row r="537" s="238" customFormat="1" x14ac:dyDescent="0.25"/>
    <row r="538" s="238" customFormat="1" x14ac:dyDescent="0.25"/>
    <row r="539" s="238" customFormat="1" x14ac:dyDescent="0.25"/>
    <row r="540" s="238" customFormat="1" x14ac:dyDescent="0.25"/>
    <row r="541" s="238" customFormat="1" x14ac:dyDescent="0.25"/>
    <row r="542" s="238" customFormat="1" x14ac:dyDescent="0.25"/>
    <row r="543" s="238" customFormat="1" x14ac:dyDescent="0.25"/>
    <row r="544" s="238" customFormat="1" x14ac:dyDescent="0.25"/>
    <row r="545" s="238" customFormat="1" x14ac:dyDescent="0.25"/>
    <row r="546" s="238" customFormat="1" x14ac:dyDescent="0.25"/>
    <row r="547" s="238" customFormat="1" x14ac:dyDescent="0.25"/>
    <row r="548" s="238" customFormat="1" x14ac:dyDescent="0.25"/>
    <row r="549" s="238" customFormat="1" x14ac:dyDescent="0.25"/>
    <row r="550" s="238" customFormat="1" x14ac:dyDescent="0.25"/>
    <row r="551" s="238" customFormat="1" x14ac:dyDescent="0.25"/>
    <row r="552" s="238" customFormat="1" x14ac:dyDescent="0.25"/>
    <row r="553" s="238" customFormat="1" x14ac:dyDescent="0.25"/>
    <row r="554" s="238" customFormat="1" x14ac:dyDescent="0.25"/>
    <row r="555" s="238" customFormat="1" x14ac:dyDescent="0.25"/>
    <row r="556" s="238" customFormat="1" x14ac:dyDescent="0.25"/>
    <row r="557" s="238" customFormat="1" x14ac:dyDescent="0.25"/>
    <row r="558" s="238" customFormat="1" x14ac:dyDescent="0.25"/>
    <row r="559" s="238" customFormat="1" x14ac:dyDescent="0.25"/>
  </sheetData>
  <sheetProtection selectLockedCells="1"/>
  <mergeCells count="274">
    <mergeCell ref="J220:L220"/>
    <mergeCell ref="J229:L229"/>
    <mergeCell ref="E226:P226"/>
    <mergeCell ref="E238:Q238"/>
    <mergeCell ref="E225:P225"/>
    <mergeCell ref="H228:I228"/>
    <mergeCell ref="E230:F230"/>
    <mergeCell ref="E231:F231"/>
    <mergeCell ref="K262:L262"/>
    <mergeCell ref="J228:L228"/>
    <mergeCell ref="J230:L230"/>
    <mergeCell ref="J231:L231"/>
    <mergeCell ref="J240:L240"/>
    <mergeCell ref="J221:L221"/>
    <mergeCell ref="J242:L242"/>
    <mergeCell ref="J241:L241"/>
    <mergeCell ref="J254:K254"/>
    <mergeCell ref="J213:L213"/>
    <mergeCell ref="J214:L214"/>
    <mergeCell ref="J204:L204"/>
    <mergeCell ref="J205:L205"/>
    <mergeCell ref="J199:L199"/>
    <mergeCell ref="J200:L200"/>
    <mergeCell ref="J206:L206"/>
    <mergeCell ref="J207:L207"/>
    <mergeCell ref="J209:L209"/>
    <mergeCell ref="J203:L203"/>
    <mergeCell ref="J202:L202"/>
    <mergeCell ref="J208:L208"/>
    <mergeCell ref="J201:L201"/>
    <mergeCell ref="J212:L212"/>
    <mergeCell ref="J211:L211"/>
    <mergeCell ref="J210:L210"/>
    <mergeCell ref="J215:L215"/>
    <mergeCell ref="J216:L216"/>
    <mergeCell ref="J217:L217"/>
    <mergeCell ref="J218:L218"/>
    <mergeCell ref="J219:L219"/>
    <mergeCell ref="J99:L99"/>
    <mergeCell ref="J100:L100"/>
    <mergeCell ref="J101:L101"/>
    <mergeCell ref="J102:L102"/>
    <mergeCell ref="F111:O111"/>
    <mergeCell ref="J113:L113"/>
    <mergeCell ref="K104:L104"/>
    <mergeCell ref="K103:L103"/>
    <mergeCell ref="F112:G112"/>
    <mergeCell ref="G103:H103"/>
    <mergeCell ref="I103:J103"/>
    <mergeCell ref="H112:I112"/>
    <mergeCell ref="H129:I129"/>
    <mergeCell ref="H130:I130"/>
    <mergeCell ref="H126:I126"/>
    <mergeCell ref="E140:P140"/>
    <mergeCell ref="E148:F148"/>
    <mergeCell ref="F116:O116"/>
    <mergeCell ref="H117:I117"/>
    <mergeCell ref="F113:G113"/>
    <mergeCell ref="F114:G114"/>
    <mergeCell ref="F130:G130"/>
    <mergeCell ref="F117:G117"/>
    <mergeCell ref="F118:G118"/>
    <mergeCell ref="F128:G128"/>
    <mergeCell ref="F129:G129"/>
    <mergeCell ref="H114:I114"/>
    <mergeCell ref="H113:I113"/>
    <mergeCell ref="H128:I128"/>
    <mergeCell ref="C8:R8"/>
    <mergeCell ref="G26:I26"/>
    <mergeCell ref="O26:P26"/>
    <mergeCell ref="H27:I27"/>
    <mergeCell ref="O24:P24"/>
    <mergeCell ref="G24:I24"/>
    <mergeCell ref="O34:P34"/>
    <mergeCell ref="I52:J52"/>
    <mergeCell ref="I53:J53"/>
    <mergeCell ref="K52:L52"/>
    <mergeCell ref="K53:L53"/>
    <mergeCell ref="H39:I39"/>
    <mergeCell ref="H36:I36"/>
    <mergeCell ref="H34:I34"/>
    <mergeCell ref="H33:I33"/>
    <mergeCell ref="G37:I37"/>
    <mergeCell ref="H25:I25"/>
    <mergeCell ref="H32:I32"/>
    <mergeCell ref="H31:I31"/>
    <mergeCell ref="H30:I30"/>
    <mergeCell ref="H29:I29"/>
    <mergeCell ref="H28:I28"/>
    <mergeCell ref="E50:P50"/>
    <mergeCell ref="G52:H52"/>
    <mergeCell ref="E52:F52"/>
    <mergeCell ref="O53:O56"/>
    <mergeCell ref="G53:H53"/>
    <mergeCell ref="I56:J56"/>
    <mergeCell ref="I55:J55"/>
    <mergeCell ref="G55:H55"/>
    <mergeCell ref="G56:H56"/>
    <mergeCell ref="K54:L54"/>
    <mergeCell ref="G54:H54"/>
    <mergeCell ref="I54:J54"/>
    <mergeCell ref="M78:P78"/>
    <mergeCell ref="M83:N83"/>
    <mergeCell ref="H80:I80"/>
    <mergeCell ref="H82:I82"/>
    <mergeCell ref="F68:H68"/>
    <mergeCell ref="K69:L69"/>
    <mergeCell ref="H81:I81"/>
    <mergeCell ref="K55:L55"/>
    <mergeCell ref="K56:L56"/>
    <mergeCell ref="E63:P63"/>
    <mergeCell ref="I65:J65"/>
    <mergeCell ref="I66:J66"/>
    <mergeCell ref="F65:H65"/>
    <mergeCell ref="F66:H66"/>
    <mergeCell ref="I67:J67"/>
    <mergeCell ref="K65:L65"/>
    <mergeCell ref="K66:L66"/>
    <mergeCell ref="K67:L67"/>
    <mergeCell ref="F98:I98"/>
    <mergeCell ref="F69:H69"/>
    <mergeCell ref="J126:L126"/>
    <mergeCell ref="J127:L127"/>
    <mergeCell ref="J128:L128"/>
    <mergeCell ref="J129:L129"/>
    <mergeCell ref="J196:L196"/>
    <mergeCell ref="D192:E193"/>
    <mergeCell ref="F173:L173"/>
    <mergeCell ref="F174:L174"/>
    <mergeCell ref="G184:H184"/>
    <mergeCell ref="E142:H142"/>
    <mergeCell ref="H118:I118"/>
    <mergeCell ref="J182:L182"/>
    <mergeCell ref="H127:I127"/>
    <mergeCell ref="I184:J184"/>
    <mergeCell ref="E188:P188"/>
    <mergeCell ref="F170:L170"/>
    <mergeCell ref="F171:L171"/>
    <mergeCell ref="F172:L172"/>
    <mergeCell ref="F126:G126"/>
    <mergeCell ref="F127:G127"/>
    <mergeCell ref="E96:P96"/>
    <mergeCell ref="J87:L87"/>
    <mergeCell ref="J130:L130"/>
    <mergeCell ref="F192:F193"/>
    <mergeCell ref="J180:L180"/>
    <mergeCell ref="J181:L181"/>
    <mergeCell ref="F175:L175"/>
    <mergeCell ref="F176:L176"/>
    <mergeCell ref="K155:M155"/>
    <mergeCell ref="D190:P190"/>
    <mergeCell ref="O192:O193"/>
    <mergeCell ref="G192:I192"/>
    <mergeCell ref="E178:P178"/>
    <mergeCell ref="J192:M192"/>
    <mergeCell ref="J193:L193"/>
    <mergeCell ref="M274:O274"/>
    <mergeCell ref="E285:P285"/>
    <mergeCell ref="E292:P292"/>
    <mergeCell ref="C247:R247"/>
    <mergeCell ref="H240:I240"/>
    <mergeCell ref="E236:P236"/>
    <mergeCell ref="H242:I242"/>
    <mergeCell ref="C269:R269"/>
    <mergeCell ref="E272:P272"/>
    <mergeCell ref="E250:P250"/>
    <mergeCell ref="E258:P258"/>
    <mergeCell ref="K263:L263"/>
    <mergeCell ref="K261:L261"/>
    <mergeCell ref="G261:J261"/>
    <mergeCell ref="G262:J262"/>
    <mergeCell ref="G263:J263"/>
    <mergeCell ref="J253:K253"/>
    <mergeCell ref="L253:M253"/>
    <mergeCell ref="L254:M254"/>
    <mergeCell ref="H253:I253"/>
    <mergeCell ref="H254:I254"/>
    <mergeCell ref="E253:G253"/>
    <mergeCell ref="E254:G254"/>
    <mergeCell ref="H241:I241"/>
    <mergeCell ref="H215:I215"/>
    <mergeCell ref="H216:I216"/>
    <mergeCell ref="H217:I217"/>
    <mergeCell ref="H220:I220"/>
    <mergeCell ref="H212:I212"/>
    <mergeCell ref="H213:I213"/>
    <mergeCell ref="H214:I214"/>
    <mergeCell ref="H211:I211"/>
    <mergeCell ref="E274:G274"/>
    <mergeCell ref="E240:G240"/>
    <mergeCell ref="E241:G241"/>
    <mergeCell ref="E242:G242"/>
    <mergeCell ref="H218:I218"/>
    <mergeCell ref="H219:I219"/>
    <mergeCell ref="H221:I221"/>
    <mergeCell ref="H230:I230"/>
    <mergeCell ref="H231:I231"/>
    <mergeCell ref="H229:I229"/>
    <mergeCell ref="J92:L92"/>
    <mergeCell ref="J93:L93"/>
    <mergeCell ref="J94:L94"/>
    <mergeCell ref="E92:I92"/>
    <mergeCell ref="E93:I93"/>
    <mergeCell ref="H83:I83"/>
    <mergeCell ref="E78:I78"/>
    <mergeCell ref="F67:H67"/>
    <mergeCell ref="J88:L88"/>
    <mergeCell ref="I68:J68"/>
    <mergeCell ref="I69:J69"/>
    <mergeCell ref="K68:L68"/>
    <mergeCell ref="J91:L91"/>
    <mergeCell ref="E94:I94"/>
    <mergeCell ref="J89:L89"/>
    <mergeCell ref="E87:I87"/>
    <mergeCell ref="E88:I88"/>
    <mergeCell ref="E89:I89"/>
    <mergeCell ref="E90:I90"/>
    <mergeCell ref="E91:I91"/>
    <mergeCell ref="C3:R3"/>
    <mergeCell ref="C4:R4"/>
    <mergeCell ref="C5:Q5"/>
    <mergeCell ref="E61:P61"/>
    <mergeCell ref="E107:P107"/>
    <mergeCell ref="E123:P123"/>
    <mergeCell ref="E165:P165"/>
    <mergeCell ref="E48:P48"/>
    <mergeCell ref="E76:P76"/>
    <mergeCell ref="E14:P14"/>
    <mergeCell ref="H38:I38"/>
    <mergeCell ref="C136:R136"/>
    <mergeCell ref="E17:L17"/>
    <mergeCell ref="G19:L19"/>
    <mergeCell ref="G104:H104"/>
    <mergeCell ref="I104:J104"/>
    <mergeCell ref="J117:L117"/>
    <mergeCell ref="J118:L118"/>
    <mergeCell ref="J90:L90"/>
    <mergeCell ref="J114:L114"/>
    <mergeCell ref="J98:L98"/>
    <mergeCell ref="D10:K10"/>
    <mergeCell ref="G35:I35"/>
    <mergeCell ref="J112:L112"/>
    <mergeCell ref="J197:L197"/>
    <mergeCell ref="N192:N193"/>
    <mergeCell ref="K184:L184"/>
    <mergeCell ref="K153:M153"/>
    <mergeCell ref="K154:M154"/>
    <mergeCell ref="G180:I180"/>
    <mergeCell ref="G181:I181"/>
    <mergeCell ref="G182:I182"/>
    <mergeCell ref="G183:I183"/>
    <mergeCell ref="F169:L169"/>
    <mergeCell ref="H193:I193"/>
    <mergeCell ref="J194:L194"/>
    <mergeCell ref="J183:L183"/>
    <mergeCell ref="E167:P167"/>
    <mergeCell ref="P192:P193"/>
    <mergeCell ref="H194:I194"/>
    <mergeCell ref="H195:I195"/>
    <mergeCell ref="H197:I197"/>
    <mergeCell ref="H200:I200"/>
    <mergeCell ref="H201:I201"/>
    <mergeCell ref="H202:I202"/>
    <mergeCell ref="H204:I204"/>
    <mergeCell ref="H196:I196"/>
    <mergeCell ref="H199:I199"/>
    <mergeCell ref="H198:I198"/>
    <mergeCell ref="H209:I209"/>
    <mergeCell ref="H210:I210"/>
    <mergeCell ref="H203:I203"/>
    <mergeCell ref="H205:I205"/>
    <mergeCell ref="H206:I206"/>
    <mergeCell ref="H207:I207"/>
    <mergeCell ref="H208:I208"/>
  </mergeCells>
  <conditionalFormatting sqref="F116:O116">
    <cfRule type="expression" dxfId="87" priority="5">
      <formula>$J$118=0</formula>
    </cfRule>
  </conditionalFormatting>
  <hyperlinks>
    <hyperlink ref="D10" location="'D. Recicladores'!A82" display="Si desea indicar directamente la cantidad de vehículos, operarios y conductores haga clic aquí." xr:uid="{00000000-0004-0000-0700-000000000000}"/>
    <hyperlink ref="D10:K10" location="'Datos Recicladores'!G53" display="Si conoce las cantidades de vehículos, operarios y conductores haga clic aquí." xr:uid="{00000000-0004-0000-0700-000001000000}"/>
    <hyperlink ref="E19" location="Instrucciones!E312" display="Elija un tipo de equipo para la recolección:" xr:uid="{00000000-0004-0000-0700-000002000000}"/>
    <hyperlink ref="E26" location="Instrucciones!E314" display="Indique la medida de la capacidad" xr:uid="{00000000-0004-0000-0700-000003000000}"/>
    <hyperlink ref="E28" location="Instrucciones!E317" display="Tiempo de transporte, ida y regreso (horas)" xr:uid="{00000000-0004-0000-0700-000004000000}"/>
    <hyperlink ref="E29" location="Instrucciones!E318" display="Instrucciones!E318" xr:uid="{00000000-0004-0000-0700-000005000000}"/>
    <hyperlink ref="E30" location="Instrucciones!E319" display="Tiempo de alistamiento (horas)" xr:uid="{00000000-0004-0000-0700-000006000000}"/>
    <hyperlink ref="E31" location="Instrucciones!E320" display="Tiempo en sitio de descarga (horas)" xr:uid="{00000000-0004-0000-0700-000007000000}"/>
    <hyperlink ref="E32" location="Instrucciones!E322" display="Número de operarios de recolección por vehículo" xr:uid="{00000000-0004-0000-0700-000008000000}"/>
    <hyperlink ref="E33" location="Instrucciones!E324" display="Porcentaje de equipos de respaldo" xr:uid="{00000000-0004-0000-0700-000009000000}"/>
    <hyperlink ref="E34" location="Instrucciones!E325" display="Vida útil de vehículos / equipos (años)" xr:uid="{00000000-0004-0000-0700-00000A000000}"/>
    <hyperlink ref="E35" location="Instrucciones!E326" display="Medida de consumo de combustible" xr:uid="{00000000-0004-0000-0700-00000B000000}"/>
    <hyperlink ref="E37" location="Instrucciones!E329" display="Indique la medida de distancia" xr:uid="{00000000-0004-0000-0700-00000C000000}"/>
    <hyperlink ref="E39" location="Instrucciones!E331" display="Instrucciones!E331" xr:uid="{00000000-0004-0000-0700-00000D000000}"/>
    <hyperlink ref="E78:I78" location="Instrucciones!E337" display="Información Laboral General" xr:uid="{00000000-0004-0000-0700-00000E000000}"/>
    <hyperlink ref="M26" location="Instrucciones!E314" display="Indique la medida de la capacidad" xr:uid="{00000000-0004-0000-0700-00000F000000}"/>
    <hyperlink ref="M28" location="Instrucciones!E318" display="Tiempo de recolección (horas)" xr:uid="{00000000-0004-0000-0700-000010000000}"/>
    <hyperlink ref="M29" location="Instrucciones!E319" display="Tiempo de alistamiento (horas)" xr:uid="{00000000-0004-0000-0700-000011000000}"/>
    <hyperlink ref="M30" location="Instrucciones!E320" display="Tiempo en sitio de descarga (horas)" xr:uid="{00000000-0004-0000-0700-000012000000}"/>
    <hyperlink ref="M31" location="Instrucciones!E322" display="Número de operarios de recolección" xr:uid="{00000000-0004-0000-0700-000013000000}"/>
    <hyperlink ref="M32" location="Instrucciones!E324" display="Porcentaje de equipos de respaldo" xr:uid="{00000000-0004-0000-0700-000014000000}"/>
    <hyperlink ref="M33" location="Instrucciones!E325" display="Vida útil de vehículos / equipos (años)" xr:uid="{00000000-0004-0000-0700-000015000000}"/>
    <hyperlink ref="M34" location="Instrucciones!E329" display="Indique la medida de distancia" xr:uid="{00000000-0004-0000-0700-000016000000}"/>
    <hyperlink ref="M35" location="Instrucciones!E331" display="Instrucciones!E331" xr:uid="{00000000-0004-0000-0700-000017000000}"/>
    <hyperlink ref="M37:Q37" location="Instrucciones!E337" display="Información Laboral General" xr:uid="{00000000-0004-0000-0700-000018000000}"/>
    <hyperlink ref="E50:P50" location="Instrucciones!E343" display="Indique la cantidad de vehículos por tipo de vehículo, el consumo de combustible por cada unidad de vehículo, la vida útil por tipo de vehículo, la cantidad de operarios de recolección por vehículo y la cantidad total de supervisores" xr:uid="{00000000-0004-0000-0700-000019000000}"/>
    <hyperlink ref="E63:P63" location="Instrucciones!E349" display="Indique el costo de los siguientes equipos y seleccione la fuente de los recursos " xr:uid="{00000000-0004-0000-0700-00001A000000}"/>
    <hyperlink ref="E85" location="Instrucciones!E349" display="Diligencie en la siguiente tabla la información de salarios y costos laborales por tipo de trabajador" xr:uid="{00000000-0004-0000-0700-00001B000000}"/>
    <hyperlink ref="E96:P96" location="Instrucciones!E358" display="Indique la fuente de los recursos para los pagos de cada tipo de cargo (sólo es válida una opción)" xr:uid="{00000000-0004-0000-0700-00001C000000}"/>
    <hyperlink ref="F113:G113" location="Instrucciones!E361" display="Valor del combustible ($/galón)" xr:uid="{00000000-0004-0000-0700-00001D000000}"/>
    <hyperlink ref="F114:G114" location="Instrucciones!E362" display="Costo del mantenimiento ($/mes)" xr:uid="{00000000-0004-0000-0700-00001E000000}"/>
    <hyperlink ref="F118:G118" location="Instrucciones!E362" display="Costo del mantenimiento ($/mes)" xr:uid="{00000000-0004-0000-0700-00001F000000}"/>
    <hyperlink ref="E124" location="Instrucciones!E363" display="Indique la información de costos fijos para cada uno de los tipos de vehículos" xr:uid="{00000000-0004-0000-0700-000020000000}"/>
    <hyperlink ref="E142:H142" location="Instrucciones!E368" display="Instrucciones!E368" xr:uid="{00000000-0004-0000-0700-000021000000}"/>
    <hyperlink ref="K143" location="Instrucciones!E370" display="Area de cada uno de los centros de acopio (m2)" xr:uid="{00000000-0004-0000-0700-000022000000}"/>
    <hyperlink ref="K144" location="Instrucciones!E371" display="Capacidad de contenedores móviles (Ton)" xr:uid="{00000000-0004-0000-0700-000023000000}"/>
    <hyperlink ref="K145" location="Instrucciones!E372" display="Porcentaje de rechazo en centro de acopio (%)" xr:uid="{00000000-0004-0000-0700-000024000000}"/>
    <hyperlink ref="K146" location="Instrucciones!E373" display="Vida útil de maquinaria y equipos (años)" xr:uid="{00000000-0004-0000-0700-000025000000}"/>
    <hyperlink ref="E158" location="Instrucciones!E375" display="Costo de la recolección y transporte" xr:uid="{00000000-0004-0000-0700-000026000000}"/>
    <hyperlink ref="E159" location="Instrucciones!E376" display="Disposición final" xr:uid="{00000000-0004-0000-0700-000027000000}"/>
    <hyperlink ref="K149" location="Instrucciones!E378" display="Elija una opción para la cantidad de operarios de separación" xr:uid="{00000000-0004-0000-0700-000028000000}"/>
    <hyperlink ref="E167:P167" location="Instrucciones!E349" display="Diligencie en la siguiente tabla la información de salarios y costos laborales por tipo de trabajador" xr:uid="{00000000-0004-0000-0700-000029000000}"/>
    <hyperlink ref="E178:P178" location="Instrucciones!E358" display="Indique la fuente de los recursos para los pagos de cada tipo de cargo (sólo es válida una opción)" xr:uid="{00000000-0004-0000-0700-00002A000000}"/>
    <hyperlink ref="D190" location="Instrucciones!E390" display="Indique el valor de los siguientes equipos en el centro de acopio y seleccione la fuente de los recursos de cada uno (sólo es válida una opción)" xr:uid="{00000000-0004-0000-0700-00002B000000}"/>
    <hyperlink ref="E226:P226" location="Instrucciones!E396" display="Diligencie la información requerida sobre los costos de operación y manteimiento de la maquinaria, equipo e instalaciones y seleccione la fuente de los recursos (sólo es válida una opción)" xr:uid="{00000000-0004-0000-0700-00002C000000}"/>
    <hyperlink ref="E238:Q238" location="Instrucciones!E401" display="Diligencie la información sobre los costos de arrendamiento y demás costos fijos. Seleccione la fuente de los recursos (sólo es válida una opción)" xr:uid="{00000000-0004-0000-0700-00002D000000}"/>
    <hyperlink ref="E254:G254" location="Instrucciones!E411" display="Gastos de administración" xr:uid="{00000000-0004-0000-0700-00002E000000}"/>
    <hyperlink ref="G262:J262" location="Instrucciones!E413" display="Costo pormedio ponderado de capital " xr:uid="{00000000-0004-0000-0700-00002F000000}"/>
    <hyperlink ref="G263:J263" location="Instrucciones!E414" display="Ciclo de Efectivo" xr:uid="{00000000-0004-0000-0700-000030000000}"/>
    <hyperlink ref="E273" location="Instrucciones!E420" display="Diligencie la información sobre el precio de compra y venta de los materiales reciclables" xr:uid="{00000000-0004-0000-0700-000031000000}"/>
    <hyperlink ref="E286" location="Instrucciones!E424" display="Señale los valores por remuneración del servicio de reciclaje, dependiendo de cada actividad." xr:uid="{00000000-0004-0000-0700-000032000000}"/>
    <hyperlink ref="E293" location="Instrucciones!E428" display="Indique si existe una remuneración adicional para los recicladores" xr:uid="{00000000-0004-0000-0700-000033000000}"/>
  </hyperlinks>
  <pageMargins left="0.7" right="0.7" top="0.75" bottom="0.75" header="0.3" footer="0.3"/>
  <pageSetup paperSize="9" orientation="portrait" r:id="rId1"/>
  <ignoredErrors>
    <ignoredError sqref="I150" evalError="1"/>
  </ignoredErrors>
  <drawing r:id="rId2"/>
  <legacyDrawing r:id="rId3"/>
  <controls>
    <mc:AlternateContent xmlns:mc="http://schemas.openxmlformats.org/markup-compatibility/2006">
      <mc:Choice Requires="x14">
        <control shapeId="7205" r:id="rId4" name="OptionButton24">
          <controlPr defaultSize="0" autoLine="0" linkedCell="'C.Recicladores'!C99" r:id="rId5">
            <anchor moveWithCells="1">
              <from>
                <xdr:col>6</xdr:col>
                <xdr:colOff>95250</xdr:colOff>
                <xdr:row>141</xdr:row>
                <xdr:rowOff>190500</xdr:rowOff>
              </from>
              <to>
                <xdr:col>8</xdr:col>
                <xdr:colOff>619125</xdr:colOff>
                <xdr:row>143</xdr:row>
                <xdr:rowOff>95250</xdr:rowOff>
              </to>
            </anchor>
          </controlPr>
        </control>
      </mc:Choice>
      <mc:Fallback>
        <control shapeId="7205" r:id="rId4" name="OptionButton24"/>
      </mc:Fallback>
    </mc:AlternateContent>
    <mc:AlternateContent xmlns:mc="http://schemas.openxmlformats.org/markup-compatibility/2006">
      <mc:Choice Requires="x14">
        <control shapeId="7206" r:id="rId6" name="OptionButton25">
          <controlPr defaultSize="0" autoLine="0" linkedCell="'C.Recicladores'!C100" r:id="rId7">
            <anchor moveWithCells="1">
              <from>
                <xdr:col>4</xdr:col>
                <xdr:colOff>1609725</xdr:colOff>
                <xdr:row>141</xdr:row>
                <xdr:rowOff>142875</xdr:rowOff>
              </from>
              <to>
                <xdr:col>6</xdr:col>
                <xdr:colOff>114300</xdr:colOff>
                <xdr:row>143</xdr:row>
                <xdr:rowOff>190500</xdr:rowOff>
              </to>
            </anchor>
          </controlPr>
        </control>
      </mc:Choice>
      <mc:Fallback>
        <control shapeId="7206" r:id="rId6" name="OptionButton25"/>
      </mc:Fallback>
    </mc:AlternateContent>
    <mc:AlternateContent xmlns:mc="http://schemas.openxmlformats.org/markup-compatibility/2006">
      <mc:Choice Requires="x14">
        <control shapeId="7207" r:id="rId8" name="OptionButton26">
          <controlPr defaultSize="0" autoLine="0" linkedCell="'C.Recicladores'!C104" r:id="rId9">
            <anchor moveWithCells="1">
              <from>
                <xdr:col>10</xdr:col>
                <xdr:colOff>9525</xdr:colOff>
                <xdr:row>149</xdr:row>
                <xdr:rowOff>85725</xdr:rowOff>
              </from>
              <to>
                <xdr:col>12</xdr:col>
                <xdr:colOff>1038225</xdr:colOff>
                <xdr:row>150</xdr:row>
                <xdr:rowOff>171450</xdr:rowOff>
              </to>
            </anchor>
          </controlPr>
        </control>
      </mc:Choice>
      <mc:Fallback>
        <control shapeId="7207" r:id="rId8" name="OptionButton26"/>
      </mc:Fallback>
    </mc:AlternateContent>
    <mc:AlternateContent xmlns:mc="http://schemas.openxmlformats.org/markup-compatibility/2006">
      <mc:Choice Requires="x14">
        <control shapeId="7208" r:id="rId10" name="OptionButton27">
          <controlPr defaultSize="0" autoLine="0" linkedCell="'C.Recicladores'!C105" r:id="rId11">
            <anchor moveWithCells="1">
              <from>
                <xdr:col>13</xdr:col>
                <xdr:colOff>0</xdr:colOff>
                <xdr:row>149</xdr:row>
                <xdr:rowOff>104775</xdr:rowOff>
              </from>
              <to>
                <xdr:col>15</xdr:col>
                <xdr:colOff>266700</xdr:colOff>
                <xdr:row>150</xdr:row>
                <xdr:rowOff>133350</xdr:rowOff>
              </to>
            </anchor>
          </controlPr>
        </control>
      </mc:Choice>
      <mc:Fallback>
        <control shapeId="7208" r:id="rId10" name="OptionButton27"/>
      </mc:Fallback>
    </mc:AlternateContent>
    <mc:AlternateContent xmlns:mc="http://schemas.openxmlformats.org/markup-compatibility/2006">
      <mc:Choice Requires="x14">
        <control shapeId="7410" r:id="rId12" name="OptionButton3">
          <controlPr defaultSize="0" autoLine="0" linkedCell="'C.Recicladores'!C209" r:id="rId13">
            <anchor moveWithCells="1">
              <from>
                <xdr:col>6</xdr:col>
                <xdr:colOff>428625</xdr:colOff>
                <xdr:row>293</xdr:row>
                <xdr:rowOff>9525</xdr:rowOff>
              </from>
              <to>
                <xdr:col>6</xdr:col>
                <xdr:colOff>600075</xdr:colOff>
                <xdr:row>293</xdr:row>
                <xdr:rowOff>152400</xdr:rowOff>
              </to>
            </anchor>
          </controlPr>
        </control>
      </mc:Choice>
      <mc:Fallback>
        <control shapeId="7410" r:id="rId12" name="OptionButton3"/>
      </mc:Fallback>
    </mc:AlternateContent>
    <mc:AlternateContent xmlns:mc="http://schemas.openxmlformats.org/markup-compatibility/2006">
      <mc:Choice Requires="x14">
        <control shapeId="7411" r:id="rId14" name="OptionButton4">
          <controlPr defaultSize="0" autoLine="0" linkedCell="'C.Recicladores'!C210" r:id="rId15">
            <anchor moveWithCells="1">
              <from>
                <xdr:col>6</xdr:col>
                <xdr:colOff>428625</xdr:colOff>
                <xdr:row>294</xdr:row>
                <xdr:rowOff>9525</xdr:rowOff>
              </from>
              <to>
                <xdr:col>6</xdr:col>
                <xdr:colOff>600075</xdr:colOff>
                <xdr:row>294</xdr:row>
                <xdr:rowOff>152400</xdr:rowOff>
              </to>
            </anchor>
          </controlPr>
        </control>
      </mc:Choice>
      <mc:Fallback>
        <control shapeId="7411" r:id="rId14" name="OptionButton4"/>
      </mc:Fallback>
    </mc:AlternateContent>
    <mc:AlternateContent xmlns:mc="http://schemas.openxmlformats.org/markup-compatibility/2006">
      <mc:Choice Requires="x14">
        <control shapeId="7412" r:id="rId16" name="OptionButton5">
          <controlPr defaultSize="0" autoLine="0" linkedCell="'C.Recicladores'!C211" r:id="rId17">
            <anchor moveWithCells="1">
              <from>
                <xdr:col>6</xdr:col>
                <xdr:colOff>428625</xdr:colOff>
                <xdr:row>295</xdr:row>
                <xdr:rowOff>9525</xdr:rowOff>
              </from>
              <to>
                <xdr:col>6</xdr:col>
                <xdr:colOff>600075</xdr:colOff>
                <xdr:row>295</xdr:row>
                <xdr:rowOff>152400</xdr:rowOff>
              </to>
            </anchor>
          </controlPr>
        </control>
      </mc:Choice>
      <mc:Fallback>
        <control shapeId="7412" r:id="rId16" name="OptionButton5"/>
      </mc:Fallback>
    </mc:AlternateContent>
    <mc:AlternateContent xmlns:mc="http://schemas.openxmlformats.org/markup-compatibility/2006">
      <mc:Choice Requires="x14">
        <control shapeId="7449" r:id="rId18" name="OptionButton1">
          <controlPr defaultSize="0" autoLine="0" linkedCell="'C.Recicladores'!M40" r:id="rId19">
            <anchor moveWithCells="1">
              <from>
                <xdr:col>12</xdr:col>
                <xdr:colOff>523875</xdr:colOff>
                <xdr:row>65</xdr:row>
                <xdr:rowOff>28575</xdr:rowOff>
              </from>
              <to>
                <xdr:col>12</xdr:col>
                <xdr:colOff>762000</xdr:colOff>
                <xdr:row>65</xdr:row>
                <xdr:rowOff>219075</xdr:rowOff>
              </to>
            </anchor>
          </controlPr>
        </control>
      </mc:Choice>
      <mc:Fallback>
        <control shapeId="7449" r:id="rId18" name="OptionButton1"/>
      </mc:Fallback>
    </mc:AlternateContent>
    <mc:AlternateContent xmlns:mc="http://schemas.openxmlformats.org/markup-compatibility/2006">
      <mc:Choice Requires="x14">
        <control shapeId="7451" r:id="rId20" name="OptionButton2">
          <controlPr defaultSize="0" autoLine="0" linkedCell="'C.Recicladores'!N40" r:id="rId21">
            <anchor moveWithCells="1">
              <from>
                <xdr:col>13</xdr:col>
                <xdr:colOff>466725</xdr:colOff>
                <xdr:row>65</xdr:row>
                <xdr:rowOff>28575</xdr:rowOff>
              </from>
              <to>
                <xdr:col>13</xdr:col>
                <xdr:colOff>704850</xdr:colOff>
                <xdr:row>65</xdr:row>
                <xdr:rowOff>219075</xdr:rowOff>
              </to>
            </anchor>
          </controlPr>
        </control>
      </mc:Choice>
      <mc:Fallback>
        <control shapeId="7451" r:id="rId20" name="OptionButton2"/>
      </mc:Fallback>
    </mc:AlternateContent>
    <mc:AlternateContent xmlns:mc="http://schemas.openxmlformats.org/markup-compatibility/2006">
      <mc:Choice Requires="x14">
        <control shapeId="7452" r:id="rId22" name="OptionButton6">
          <controlPr defaultSize="0" autoLine="0" linkedCell="'C.Recicladores'!O40" r:id="rId21">
            <anchor moveWithCells="1">
              <from>
                <xdr:col>14</xdr:col>
                <xdr:colOff>466725</xdr:colOff>
                <xdr:row>65</xdr:row>
                <xdr:rowOff>28575</xdr:rowOff>
              </from>
              <to>
                <xdr:col>14</xdr:col>
                <xdr:colOff>704850</xdr:colOff>
                <xdr:row>65</xdr:row>
                <xdr:rowOff>219075</xdr:rowOff>
              </to>
            </anchor>
          </controlPr>
        </control>
      </mc:Choice>
      <mc:Fallback>
        <control shapeId="7452" r:id="rId22" name="OptionButton6"/>
      </mc:Fallback>
    </mc:AlternateContent>
    <mc:AlternateContent xmlns:mc="http://schemas.openxmlformats.org/markup-compatibility/2006">
      <mc:Choice Requires="x14">
        <control shapeId="7453" r:id="rId23" name="OptionButton7">
          <controlPr defaultSize="0" autoLine="0" linkedCell="'C.Recicladores'!M41" r:id="rId19">
            <anchor moveWithCells="1">
              <from>
                <xdr:col>12</xdr:col>
                <xdr:colOff>523875</xdr:colOff>
                <xdr:row>66</xdr:row>
                <xdr:rowOff>28575</xdr:rowOff>
              </from>
              <to>
                <xdr:col>12</xdr:col>
                <xdr:colOff>762000</xdr:colOff>
                <xdr:row>66</xdr:row>
                <xdr:rowOff>219075</xdr:rowOff>
              </to>
            </anchor>
          </controlPr>
        </control>
      </mc:Choice>
      <mc:Fallback>
        <control shapeId="7453" r:id="rId23" name="OptionButton7"/>
      </mc:Fallback>
    </mc:AlternateContent>
    <mc:AlternateContent xmlns:mc="http://schemas.openxmlformats.org/markup-compatibility/2006">
      <mc:Choice Requires="x14">
        <control shapeId="7454" r:id="rId24" name="OptionButton8">
          <controlPr defaultSize="0" autoLine="0" linkedCell="'C.Recicladores'!N41" r:id="rId21">
            <anchor moveWithCells="1">
              <from>
                <xdr:col>13</xdr:col>
                <xdr:colOff>466725</xdr:colOff>
                <xdr:row>66</xdr:row>
                <xdr:rowOff>38100</xdr:rowOff>
              </from>
              <to>
                <xdr:col>13</xdr:col>
                <xdr:colOff>704850</xdr:colOff>
                <xdr:row>66</xdr:row>
                <xdr:rowOff>228600</xdr:rowOff>
              </to>
            </anchor>
          </controlPr>
        </control>
      </mc:Choice>
      <mc:Fallback>
        <control shapeId="7454" r:id="rId24" name="OptionButton8"/>
      </mc:Fallback>
    </mc:AlternateContent>
    <mc:AlternateContent xmlns:mc="http://schemas.openxmlformats.org/markup-compatibility/2006">
      <mc:Choice Requires="x14">
        <control shapeId="7455" r:id="rId25" name="OptionButton9">
          <controlPr defaultSize="0" autoLine="0" linkedCell="'C.Recicladores'!O41" r:id="rId21">
            <anchor moveWithCells="1">
              <from>
                <xdr:col>14</xdr:col>
                <xdr:colOff>466725</xdr:colOff>
                <xdr:row>66</xdr:row>
                <xdr:rowOff>28575</xdr:rowOff>
              </from>
              <to>
                <xdr:col>14</xdr:col>
                <xdr:colOff>704850</xdr:colOff>
                <xdr:row>66</xdr:row>
                <xdr:rowOff>219075</xdr:rowOff>
              </to>
            </anchor>
          </controlPr>
        </control>
      </mc:Choice>
      <mc:Fallback>
        <control shapeId="7455" r:id="rId25" name="OptionButton9"/>
      </mc:Fallback>
    </mc:AlternateContent>
    <mc:AlternateContent xmlns:mc="http://schemas.openxmlformats.org/markup-compatibility/2006">
      <mc:Choice Requires="x14">
        <control shapeId="7456" r:id="rId26" name="OptionButton10">
          <controlPr defaultSize="0" autoLine="0" linkedCell="'C.Recicladores'!M42" r:id="rId19">
            <anchor moveWithCells="1">
              <from>
                <xdr:col>12</xdr:col>
                <xdr:colOff>523875</xdr:colOff>
                <xdr:row>67</xdr:row>
                <xdr:rowOff>28575</xdr:rowOff>
              </from>
              <to>
                <xdr:col>12</xdr:col>
                <xdr:colOff>762000</xdr:colOff>
                <xdr:row>67</xdr:row>
                <xdr:rowOff>219075</xdr:rowOff>
              </to>
            </anchor>
          </controlPr>
        </control>
      </mc:Choice>
      <mc:Fallback>
        <control shapeId="7456" r:id="rId26" name="OptionButton10"/>
      </mc:Fallback>
    </mc:AlternateContent>
    <mc:AlternateContent xmlns:mc="http://schemas.openxmlformats.org/markup-compatibility/2006">
      <mc:Choice Requires="x14">
        <control shapeId="7457" r:id="rId27" name="OptionButton11">
          <controlPr defaultSize="0" autoLine="0" linkedCell="'C.Recicladores'!N42" r:id="rId21">
            <anchor moveWithCells="1">
              <from>
                <xdr:col>13</xdr:col>
                <xdr:colOff>466725</xdr:colOff>
                <xdr:row>67</xdr:row>
                <xdr:rowOff>19050</xdr:rowOff>
              </from>
              <to>
                <xdr:col>13</xdr:col>
                <xdr:colOff>704850</xdr:colOff>
                <xdr:row>67</xdr:row>
                <xdr:rowOff>209550</xdr:rowOff>
              </to>
            </anchor>
          </controlPr>
        </control>
      </mc:Choice>
      <mc:Fallback>
        <control shapeId="7457" r:id="rId27" name="OptionButton11"/>
      </mc:Fallback>
    </mc:AlternateContent>
    <mc:AlternateContent xmlns:mc="http://schemas.openxmlformats.org/markup-compatibility/2006">
      <mc:Choice Requires="x14">
        <control shapeId="7458" r:id="rId28" name="OptionButton12">
          <controlPr defaultSize="0" autoLine="0" linkedCell="'C.Recicladores'!O42" r:id="rId21">
            <anchor moveWithCells="1">
              <from>
                <xdr:col>14</xdr:col>
                <xdr:colOff>476250</xdr:colOff>
                <xdr:row>67</xdr:row>
                <xdr:rowOff>38100</xdr:rowOff>
              </from>
              <to>
                <xdr:col>14</xdr:col>
                <xdr:colOff>714375</xdr:colOff>
                <xdr:row>67</xdr:row>
                <xdr:rowOff>228600</xdr:rowOff>
              </to>
            </anchor>
          </controlPr>
        </control>
      </mc:Choice>
      <mc:Fallback>
        <control shapeId="7458" r:id="rId28" name="OptionButton12"/>
      </mc:Fallback>
    </mc:AlternateContent>
    <mc:AlternateContent xmlns:mc="http://schemas.openxmlformats.org/markup-compatibility/2006">
      <mc:Choice Requires="x14">
        <control shapeId="7459" r:id="rId29" name="OptionButton13">
          <controlPr defaultSize="0" autoLine="0" linkedCell="'C.Recicladores'!M43" r:id="rId19">
            <anchor moveWithCells="1">
              <from>
                <xdr:col>12</xdr:col>
                <xdr:colOff>514350</xdr:colOff>
                <xdr:row>68</xdr:row>
                <xdr:rowOff>47625</xdr:rowOff>
              </from>
              <to>
                <xdr:col>12</xdr:col>
                <xdr:colOff>752475</xdr:colOff>
                <xdr:row>68</xdr:row>
                <xdr:rowOff>238125</xdr:rowOff>
              </to>
            </anchor>
          </controlPr>
        </control>
      </mc:Choice>
      <mc:Fallback>
        <control shapeId="7459" r:id="rId29" name="OptionButton13"/>
      </mc:Fallback>
    </mc:AlternateContent>
    <mc:AlternateContent xmlns:mc="http://schemas.openxmlformats.org/markup-compatibility/2006">
      <mc:Choice Requires="x14">
        <control shapeId="7460" r:id="rId30" name="OptionButton14">
          <controlPr defaultSize="0" autoLine="0" linkedCell="'C.Recicladores'!N43" r:id="rId21">
            <anchor moveWithCells="1">
              <from>
                <xdr:col>13</xdr:col>
                <xdr:colOff>485775</xdr:colOff>
                <xdr:row>68</xdr:row>
                <xdr:rowOff>47625</xdr:rowOff>
              </from>
              <to>
                <xdr:col>13</xdr:col>
                <xdr:colOff>723900</xdr:colOff>
                <xdr:row>68</xdr:row>
                <xdr:rowOff>238125</xdr:rowOff>
              </to>
            </anchor>
          </controlPr>
        </control>
      </mc:Choice>
      <mc:Fallback>
        <control shapeId="7460" r:id="rId30" name="OptionButton14"/>
      </mc:Fallback>
    </mc:AlternateContent>
    <mc:AlternateContent xmlns:mc="http://schemas.openxmlformats.org/markup-compatibility/2006">
      <mc:Choice Requires="x14">
        <control shapeId="7461" r:id="rId31" name="OptionButton15">
          <controlPr defaultSize="0" autoLine="0" autoPict="0" linkedCell="'C.Recicladores'!O43" r:id="rId32">
            <anchor moveWithCells="1">
              <from>
                <xdr:col>14</xdr:col>
                <xdr:colOff>476250</xdr:colOff>
                <xdr:row>68</xdr:row>
                <xdr:rowOff>57150</xdr:rowOff>
              </from>
              <to>
                <xdr:col>14</xdr:col>
                <xdr:colOff>638175</xdr:colOff>
                <xdr:row>68</xdr:row>
                <xdr:rowOff>238125</xdr:rowOff>
              </to>
            </anchor>
          </controlPr>
        </control>
      </mc:Choice>
      <mc:Fallback>
        <control shapeId="7461" r:id="rId31" name="OptionButton15"/>
      </mc:Fallback>
    </mc:AlternateContent>
    <mc:AlternateContent xmlns:mc="http://schemas.openxmlformats.org/markup-compatibility/2006">
      <mc:Choice Requires="x14">
        <control shapeId="7462" r:id="rId33" name="OptionButton16">
          <controlPr defaultSize="0" autoLine="0" linkedCell="'C.Recicladores'!M61" r:id="rId19">
            <anchor moveWithCells="1">
              <from>
                <xdr:col>10</xdr:col>
                <xdr:colOff>161925</xdr:colOff>
                <xdr:row>98</xdr:row>
                <xdr:rowOff>104775</xdr:rowOff>
              </from>
              <to>
                <xdr:col>10</xdr:col>
                <xdr:colOff>400050</xdr:colOff>
                <xdr:row>98</xdr:row>
                <xdr:rowOff>295275</xdr:rowOff>
              </to>
            </anchor>
          </controlPr>
        </control>
      </mc:Choice>
      <mc:Fallback>
        <control shapeId="7462" r:id="rId33" name="OptionButton16"/>
      </mc:Fallback>
    </mc:AlternateContent>
    <mc:AlternateContent xmlns:mc="http://schemas.openxmlformats.org/markup-compatibility/2006">
      <mc:Choice Requires="x14">
        <control shapeId="7463" r:id="rId34" name="OptionButton17">
          <controlPr defaultSize="0" autoLine="0" linkedCell="'C.Recicladores'!N61" r:id="rId21">
            <anchor moveWithCells="1">
              <from>
                <xdr:col>12</xdr:col>
                <xdr:colOff>476250</xdr:colOff>
                <xdr:row>98</xdr:row>
                <xdr:rowOff>95250</xdr:rowOff>
              </from>
              <to>
                <xdr:col>12</xdr:col>
                <xdr:colOff>714375</xdr:colOff>
                <xdr:row>98</xdr:row>
                <xdr:rowOff>285750</xdr:rowOff>
              </to>
            </anchor>
          </controlPr>
        </control>
      </mc:Choice>
      <mc:Fallback>
        <control shapeId="7463" r:id="rId34" name="OptionButton17"/>
      </mc:Fallback>
    </mc:AlternateContent>
    <mc:AlternateContent xmlns:mc="http://schemas.openxmlformats.org/markup-compatibility/2006">
      <mc:Choice Requires="x14">
        <control shapeId="7464" r:id="rId35" name="OptionButton18">
          <controlPr defaultSize="0" autoLine="0" linkedCell="'C.Recicladores'!O61" r:id="rId21">
            <anchor moveWithCells="1">
              <from>
                <xdr:col>13</xdr:col>
                <xdr:colOff>466725</xdr:colOff>
                <xdr:row>98</xdr:row>
                <xdr:rowOff>85725</xdr:rowOff>
              </from>
              <to>
                <xdr:col>13</xdr:col>
                <xdr:colOff>704850</xdr:colOff>
                <xdr:row>98</xdr:row>
                <xdr:rowOff>276225</xdr:rowOff>
              </to>
            </anchor>
          </controlPr>
        </control>
      </mc:Choice>
      <mc:Fallback>
        <control shapeId="7464" r:id="rId35" name="OptionButton18"/>
      </mc:Fallback>
    </mc:AlternateContent>
    <mc:AlternateContent xmlns:mc="http://schemas.openxmlformats.org/markup-compatibility/2006">
      <mc:Choice Requires="x14">
        <control shapeId="7465" r:id="rId36" name="OptionButton19">
          <controlPr defaultSize="0" autoLine="0" linkedCell="'C.Recicladores'!M62" r:id="rId19">
            <anchor moveWithCells="1">
              <from>
                <xdr:col>10</xdr:col>
                <xdr:colOff>142875</xdr:colOff>
                <xdr:row>99</xdr:row>
                <xdr:rowOff>114300</xdr:rowOff>
              </from>
              <to>
                <xdr:col>10</xdr:col>
                <xdr:colOff>381000</xdr:colOff>
                <xdr:row>99</xdr:row>
                <xdr:rowOff>304800</xdr:rowOff>
              </to>
            </anchor>
          </controlPr>
        </control>
      </mc:Choice>
      <mc:Fallback>
        <control shapeId="7465" r:id="rId36" name="OptionButton19"/>
      </mc:Fallback>
    </mc:AlternateContent>
    <mc:AlternateContent xmlns:mc="http://schemas.openxmlformats.org/markup-compatibility/2006">
      <mc:Choice Requires="x14">
        <control shapeId="7466" r:id="rId37" name="OptionButton20">
          <controlPr defaultSize="0" autoLine="0" linkedCell="'C.Recicladores'!N62" r:id="rId21">
            <anchor moveWithCells="1">
              <from>
                <xdr:col>12</xdr:col>
                <xdr:colOff>457200</xdr:colOff>
                <xdr:row>99</xdr:row>
                <xdr:rowOff>95250</xdr:rowOff>
              </from>
              <to>
                <xdr:col>12</xdr:col>
                <xdr:colOff>695325</xdr:colOff>
                <xdr:row>99</xdr:row>
                <xdr:rowOff>285750</xdr:rowOff>
              </to>
            </anchor>
          </controlPr>
        </control>
      </mc:Choice>
      <mc:Fallback>
        <control shapeId="7466" r:id="rId37" name="OptionButton20"/>
      </mc:Fallback>
    </mc:AlternateContent>
    <mc:AlternateContent xmlns:mc="http://schemas.openxmlformats.org/markup-compatibility/2006">
      <mc:Choice Requires="x14">
        <control shapeId="7467" r:id="rId38" name="OptionButton21">
          <controlPr defaultSize="0" autoLine="0" linkedCell="'C.Recicladores'!O62" r:id="rId21">
            <anchor moveWithCells="1">
              <from>
                <xdr:col>13</xdr:col>
                <xdr:colOff>447675</xdr:colOff>
                <xdr:row>99</xdr:row>
                <xdr:rowOff>104775</xdr:rowOff>
              </from>
              <to>
                <xdr:col>13</xdr:col>
                <xdr:colOff>685800</xdr:colOff>
                <xdr:row>99</xdr:row>
                <xdr:rowOff>295275</xdr:rowOff>
              </to>
            </anchor>
          </controlPr>
        </control>
      </mc:Choice>
      <mc:Fallback>
        <control shapeId="7467" r:id="rId38" name="OptionButton21"/>
      </mc:Fallback>
    </mc:AlternateContent>
    <mc:AlternateContent xmlns:mc="http://schemas.openxmlformats.org/markup-compatibility/2006">
      <mc:Choice Requires="x14">
        <control shapeId="7468" r:id="rId39" name="OptionButton22">
          <controlPr defaultSize="0" autoLine="0" linkedCell="'C.Recicladores'!M63" r:id="rId19">
            <anchor moveWithCells="1">
              <from>
                <xdr:col>10</xdr:col>
                <xdr:colOff>142875</xdr:colOff>
                <xdr:row>100</xdr:row>
                <xdr:rowOff>133350</xdr:rowOff>
              </from>
              <to>
                <xdr:col>10</xdr:col>
                <xdr:colOff>381000</xdr:colOff>
                <xdr:row>100</xdr:row>
                <xdr:rowOff>323850</xdr:rowOff>
              </to>
            </anchor>
          </controlPr>
        </control>
      </mc:Choice>
      <mc:Fallback>
        <control shapeId="7468" r:id="rId39" name="OptionButton22"/>
      </mc:Fallback>
    </mc:AlternateContent>
    <mc:AlternateContent xmlns:mc="http://schemas.openxmlformats.org/markup-compatibility/2006">
      <mc:Choice Requires="x14">
        <control shapeId="7469" r:id="rId40" name="OptionButton23">
          <controlPr defaultSize="0" autoLine="0" linkedCell="'C.Recicladores'!N63" r:id="rId21">
            <anchor moveWithCells="1">
              <from>
                <xdr:col>12</xdr:col>
                <xdr:colOff>457200</xdr:colOff>
                <xdr:row>100</xdr:row>
                <xdr:rowOff>76200</xdr:rowOff>
              </from>
              <to>
                <xdr:col>12</xdr:col>
                <xdr:colOff>695325</xdr:colOff>
                <xdr:row>100</xdr:row>
                <xdr:rowOff>266700</xdr:rowOff>
              </to>
            </anchor>
          </controlPr>
        </control>
      </mc:Choice>
      <mc:Fallback>
        <control shapeId="7469" r:id="rId40" name="OptionButton23"/>
      </mc:Fallback>
    </mc:AlternateContent>
    <mc:AlternateContent xmlns:mc="http://schemas.openxmlformats.org/markup-compatibility/2006">
      <mc:Choice Requires="x14">
        <control shapeId="7470" r:id="rId41" name="OptionButton28">
          <controlPr defaultSize="0" autoLine="0" linkedCell="'C.Recicladores'!O63" r:id="rId21">
            <anchor moveWithCells="1">
              <from>
                <xdr:col>13</xdr:col>
                <xdr:colOff>457200</xdr:colOff>
                <xdr:row>100</xdr:row>
                <xdr:rowOff>85725</xdr:rowOff>
              </from>
              <to>
                <xdr:col>13</xdr:col>
                <xdr:colOff>695325</xdr:colOff>
                <xdr:row>100</xdr:row>
                <xdr:rowOff>276225</xdr:rowOff>
              </to>
            </anchor>
          </controlPr>
        </control>
      </mc:Choice>
      <mc:Fallback>
        <control shapeId="7470" r:id="rId41" name="OptionButton28"/>
      </mc:Fallback>
    </mc:AlternateContent>
    <mc:AlternateContent xmlns:mc="http://schemas.openxmlformats.org/markup-compatibility/2006">
      <mc:Choice Requires="x14">
        <control shapeId="7471" r:id="rId42" name="OptionButton29">
          <controlPr defaultSize="0" autoLine="0" linkedCell="'C.Recicladores'!M64" r:id="rId19">
            <anchor moveWithCells="1">
              <from>
                <xdr:col>10</xdr:col>
                <xdr:colOff>142875</xdr:colOff>
                <xdr:row>101</xdr:row>
                <xdr:rowOff>76200</xdr:rowOff>
              </from>
              <to>
                <xdr:col>10</xdr:col>
                <xdr:colOff>381000</xdr:colOff>
                <xdr:row>101</xdr:row>
                <xdr:rowOff>266700</xdr:rowOff>
              </to>
            </anchor>
          </controlPr>
        </control>
      </mc:Choice>
      <mc:Fallback>
        <control shapeId="7471" r:id="rId42" name="OptionButton29"/>
      </mc:Fallback>
    </mc:AlternateContent>
    <mc:AlternateContent xmlns:mc="http://schemas.openxmlformats.org/markup-compatibility/2006">
      <mc:Choice Requires="x14">
        <control shapeId="7472" r:id="rId43" name="OptionButton30">
          <controlPr defaultSize="0" autoLine="0" linkedCell="'C.Recicladores'!N64" r:id="rId21">
            <anchor moveWithCells="1">
              <from>
                <xdr:col>12</xdr:col>
                <xdr:colOff>457200</xdr:colOff>
                <xdr:row>101</xdr:row>
                <xdr:rowOff>85725</xdr:rowOff>
              </from>
              <to>
                <xdr:col>12</xdr:col>
                <xdr:colOff>695325</xdr:colOff>
                <xdr:row>101</xdr:row>
                <xdr:rowOff>276225</xdr:rowOff>
              </to>
            </anchor>
          </controlPr>
        </control>
      </mc:Choice>
      <mc:Fallback>
        <control shapeId="7472" r:id="rId43" name="OptionButton30"/>
      </mc:Fallback>
    </mc:AlternateContent>
    <mc:AlternateContent xmlns:mc="http://schemas.openxmlformats.org/markup-compatibility/2006">
      <mc:Choice Requires="x14">
        <control shapeId="7473" r:id="rId44" name="OptionButton31">
          <controlPr defaultSize="0" autoLine="0" linkedCell="'C.Recicladores'!O64" r:id="rId21">
            <anchor moveWithCells="1">
              <from>
                <xdr:col>13</xdr:col>
                <xdr:colOff>466725</xdr:colOff>
                <xdr:row>101</xdr:row>
                <xdr:rowOff>76200</xdr:rowOff>
              </from>
              <to>
                <xdr:col>13</xdr:col>
                <xdr:colOff>704850</xdr:colOff>
                <xdr:row>101</xdr:row>
                <xdr:rowOff>266700</xdr:rowOff>
              </to>
            </anchor>
          </controlPr>
        </control>
      </mc:Choice>
      <mc:Fallback>
        <control shapeId="7473" r:id="rId44" name="OptionButton31"/>
      </mc:Fallback>
    </mc:AlternateContent>
    <mc:AlternateContent xmlns:mc="http://schemas.openxmlformats.org/markup-compatibility/2006">
      <mc:Choice Requires="x14">
        <control shapeId="7477" r:id="rId45" name="OptionButton32">
          <controlPr defaultSize="0" autoLine="0" linkedCell="'C.Recicladores'!M51" r:id="rId46">
            <anchor moveWithCells="1">
              <from>
                <xdr:col>12</xdr:col>
                <xdr:colOff>504825</xdr:colOff>
                <xdr:row>112</xdr:row>
                <xdr:rowOff>152400</xdr:rowOff>
              </from>
              <to>
                <xdr:col>12</xdr:col>
                <xdr:colOff>704850</xdr:colOff>
                <xdr:row>112</xdr:row>
                <xdr:rowOff>352425</xdr:rowOff>
              </to>
            </anchor>
          </controlPr>
        </control>
      </mc:Choice>
      <mc:Fallback>
        <control shapeId="7477" r:id="rId45" name="OptionButton32"/>
      </mc:Fallback>
    </mc:AlternateContent>
    <mc:AlternateContent xmlns:mc="http://schemas.openxmlformats.org/markup-compatibility/2006">
      <mc:Choice Requires="x14">
        <control shapeId="7478" r:id="rId47" name="OptionButton33">
          <controlPr defaultSize="0" autoLine="0" linkedCell="'C.Recicladores'!N51" r:id="rId48">
            <anchor moveWithCells="1">
              <from>
                <xdr:col>13</xdr:col>
                <xdr:colOff>495300</xdr:colOff>
                <xdr:row>112</xdr:row>
                <xdr:rowOff>190500</xdr:rowOff>
              </from>
              <to>
                <xdr:col>13</xdr:col>
                <xdr:colOff>695325</xdr:colOff>
                <xdr:row>112</xdr:row>
                <xdr:rowOff>390525</xdr:rowOff>
              </to>
            </anchor>
          </controlPr>
        </control>
      </mc:Choice>
      <mc:Fallback>
        <control shapeId="7478" r:id="rId47" name="OptionButton33"/>
      </mc:Fallback>
    </mc:AlternateContent>
    <mc:AlternateContent xmlns:mc="http://schemas.openxmlformats.org/markup-compatibility/2006">
      <mc:Choice Requires="x14">
        <control shapeId="7479" r:id="rId49" name="OptionButton34">
          <controlPr defaultSize="0" autoLine="0" linkedCell="'C.Recicladores'!O51" r:id="rId48">
            <anchor moveWithCells="1">
              <from>
                <xdr:col>14</xdr:col>
                <xdr:colOff>476250</xdr:colOff>
                <xdr:row>112</xdr:row>
                <xdr:rowOff>161925</xdr:rowOff>
              </from>
              <to>
                <xdr:col>14</xdr:col>
                <xdr:colOff>676275</xdr:colOff>
                <xdr:row>112</xdr:row>
                <xdr:rowOff>361950</xdr:rowOff>
              </to>
            </anchor>
          </controlPr>
        </control>
      </mc:Choice>
      <mc:Fallback>
        <control shapeId="7479" r:id="rId49" name="OptionButton34"/>
      </mc:Fallback>
    </mc:AlternateContent>
    <mc:AlternateContent xmlns:mc="http://schemas.openxmlformats.org/markup-compatibility/2006">
      <mc:Choice Requires="x14">
        <control shapeId="7480" r:id="rId50" name="OptionButton35">
          <controlPr defaultSize="0" autoLine="0" linkedCell="'C.Recicladores'!M52" r:id="rId46">
            <anchor moveWithCells="1">
              <from>
                <xdr:col>12</xdr:col>
                <xdr:colOff>504825</xdr:colOff>
                <xdr:row>113</xdr:row>
                <xdr:rowOff>152400</xdr:rowOff>
              </from>
              <to>
                <xdr:col>12</xdr:col>
                <xdr:colOff>704850</xdr:colOff>
                <xdr:row>113</xdr:row>
                <xdr:rowOff>352425</xdr:rowOff>
              </to>
            </anchor>
          </controlPr>
        </control>
      </mc:Choice>
      <mc:Fallback>
        <control shapeId="7480" r:id="rId50" name="OptionButton35"/>
      </mc:Fallback>
    </mc:AlternateContent>
    <mc:AlternateContent xmlns:mc="http://schemas.openxmlformats.org/markup-compatibility/2006">
      <mc:Choice Requires="x14">
        <control shapeId="7481" r:id="rId51" name="OptionButton36">
          <controlPr defaultSize="0" autoLine="0" linkedCell="'C.Recicladores'!N52" r:id="rId48">
            <anchor moveWithCells="1">
              <from>
                <xdr:col>13</xdr:col>
                <xdr:colOff>495300</xdr:colOff>
                <xdr:row>113</xdr:row>
                <xdr:rowOff>190500</xdr:rowOff>
              </from>
              <to>
                <xdr:col>13</xdr:col>
                <xdr:colOff>695325</xdr:colOff>
                <xdr:row>113</xdr:row>
                <xdr:rowOff>390525</xdr:rowOff>
              </to>
            </anchor>
          </controlPr>
        </control>
      </mc:Choice>
      <mc:Fallback>
        <control shapeId="7481" r:id="rId51" name="OptionButton36"/>
      </mc:Fallback>
    </mc:AlternateContent>
    <mc:AlternateContent xmlns:mc="http://schemas.openxmlformats.org/markup-compatibility/2006">
      <mc:Choice Requires="x14">
        <control shapeId="7482" r:id="rId52" name="OptionButton37">
          <controlPr defaultSize="0" autoLine="0" linkedCell="'C.Recicladores'!O52" r:id="rId48">
            <anchor moveWithCells="1">
              <from>
                <xdr:col>14</xdr:col>
                <xdr:colOff>438150</xdr:colOff>
                <xdr:row>113</xdr:row>
                <xdr:rowOff>238125</xdr:rowOff>
              </from>
              <to>
                <xdr:col>14</xdr:col>
                <xdr:colOff>638175</xdr:colOff>
                <xdr:row>113</xdr:row>
                <xdr:rowOff>438150</xdr:rowOff>
              </to>
            </anchor>
          </controlPr>
        </control>
      </mc:Choice>
      <mc:Fallback>
        <control shapeId="7482" r:id="rId52" name="OptionButton37"/>
      </mc:Fallback>
    </mc:AlternateContent>
    <mc:AlternateContent xmlns:mc="http://schemas.openxmlformats.org/markup-compatibility/2006">
      <mc:Choice Requires="x14">
        <control shapeId="7483" r:id="rId53" name="OptionButton38">
          <controlPr defaultSize="0" autoLine="0" linkedCell="'C.Recicladores'!M53" r:id="rId46">
            <anchor moveWithCells="1">
              <from>
                <xdr:col>12</xdr:col>
                <xdr:colOff>438150</xdr:colOff>
                <xdr:row>117</xdr:row>
                <xdr:rowOff>152400</xdr:rowOff>
              </from>
              <to>
                <xdr:col>12</xdr:col>
                <xdr:colOff>638175</xdr:colOff>
                <xdr:row>117</xdr:row>
                <xdr:rowOff>352425</xdr:rowOff>
              </to>
            </anchor>
          </controlPr>
        </control>
      </mc:Choice>
      <mc:Fallback>
        <control shapeId="7483" r:id="rId53" name="OptionButton38"/>
      </mc:Fallback>
    </mc:AlternateContent>
    <mc:AlternateContent xmlns:mc="http://schemas.openxmlformats.org/markup-compatibility/2006">
      <mc:Choice Requires="x14">
        <control shapeId="7484" r:id="rId54" name="OptionButton39">
          <controlPr defaultSize="0" autoLine="0" linkedCell="'C.Recicladores'!N53" r:id="rId48">
            <anchor moveWithCells="1">
              <from>
                <xdr:col>13</xdr:col>
                <xdr:colOff>514350</xdr:colOff>
                <xdr:row>117</xdr:row>
                <xdr:rowOff>180975</xdr:rowOff>
              </from>
              <to>
                <xdr:col>13</xdr:col>
                <xdr:colOff>714375</xdr:colOff>
                <xdr:row>117</xdr:row>
                <xdr:rowOff>381000</xdr:rowOff>
              </to>
            </anchor>
          </controlPr>
        </control>
      </mc:Choice>
      <mc:Fallback>
        <control shapeId="7484" r:id="rId54" name="OptionButton39"/>
      </mc:Fallback>
    </mc:AlternateContent>
    <mc:AlternateContent xmlns:mc="http://schemas.openxmlformats.org/markup-compatibility/2006">
      <mc:Choice Requires="x14">
        <control shapeId="7485" r:id="rId55" name="OptionButton40">
          <controlPr defaultSize="0" autoLine="0" linkedCell="'C.Recicladores'!O53" r:id="rId48">
            <anchor moveWithCells="1">
              <from>
                <xdr:col>14</xdr:col>
                <xdr:colOff>438150</xdr:colOff>
                <xdr:row>117</xdr:row>
                <xdr:rowOff>152400</xdr:rowOff>
              </from>
              <to>
                <xdr:col>14</xdr:col>
                <xdr:colOff>638175</xdr:colOff>
                <xdr:row>117</xdr:row>
                <xdr:rowOff>352425</xdr:rowOff>
              </to>
            </anchor>
          </controlPr>
        </control>
      </mc:Choice>
      <mc:Fallback>
        <control shapeId="7485" r:id="rId55" name="OptionButton40"/>
      </mc:Fallback>
    </mc:AlternateContent>
    <mc:AlternateContent xmlns:mc="http://schemas.openxmlformats.org/markup-compatibility/2006">
      <mc:Choice Requires="x14">
        <control shapeId="7486" r:id="rId56" name="OptionButton41">
          <controlPr defaultSize="0" autoLine="0" linkedCell="'C.Recicladores'!M74" r:id="rId57">
            <anchor moveWithCells="1">
              <from>
                <xdr:col>12</xdr:col>
                <xdr:colOff>476250</xdr:colOff>
                <xdr:row>126</xdr:row>
                <xdr:rowOff>57150</xdr:rowOff>
              </from>
              <to>
                <xdr:col>12</xdr:col>
                <xdr:colOff>638175</xdr:colOff>
                <xdr:row>126</xdr:row>
                <xdr:rowOff>180975</xdr:rowOff>
              </to>
            </anchor>
          </controlPr>
        </control>
      </mc:Choice>
      <mc:Fallback>
        <control shapeId="7486" r:id="rId56" name="OptionButton41"/>
      </mc:Fallback>
    </mc:AlternateContent>
    <mc:AlternateContent xmlns:mc="http://schemas.openxmlformats.org/markup-compatibility/2006">
      <mc:Choice Requires="x14">
        <control shapeId="7487" r:id="rId58" name="OptionButton42">
          <controlPr defaultSize="0" autoLine="0" linkedCell="'C.Recicladores'!N74" r:id="rId59">
            <anchor moveWithCells="1">
              <from>
                <xdr:col>13</xdr:col>
                <xdr:colOff>476250</xdr:colOff>
                <xdr:row>126</xdr:row>
                <xdr:rowOff>57150</xdr:rowOff>
              </from>
              <to>
                <xdr:col>13</xdr:col>
                <xdr:colOff>638175</xdr:colOff>
                <xdr:row>126</xdr:row>
                <xdr:rowOff>180975</xdr:rowOff>
              </to>
            </anchor>
          </controlPr>
        </control>
      </mc:Choice>
      <mc:Fallback>
        <control shapeId="7487" r:id="rId58" name="OptionButton42"/>
      </mc:Fallback>
    </mc:AlternateContent>
    <mc:AlternateContent xmlns:mc="http://schemas.openxmlformats.org/markup-compatibility/2006">
      <mc:Choice Requires="x14">
        <control shapeId="7488" r:id="rId60" name="OptionButton43">
          <controlPr defaultSize="0" autoLine="0" linkedCell="'C.Recicladores'!O74" r:id="rId61">
            <anchor moveWithCells="1">
              <from>
                <xdr:col>14</xdr:col>
                <xdr:colOff>476250</xdr:colOff>
                <xdr:row>126</xdr:row>
                <xdr:rowOff>57150</xdr:rowOff>
              </from>
              <to>
                <xdr:col>14</xdr:col>
                <xdr:colOff>638175</xdr:colOff>
                <xdr:row>126</xdr:row>
                <xdr:rowOff>180975</xdr:rowOff>
              </to>
            </anchor>
          </controlPr>
        </control>
      </mc:Choice>
      <mc:Fallback>
        <control shapeId="7488" r:id="rId60" name="OptionButton43"/>
      </mc:Fallback>
    </mc:AlternateContent>
    <mc:AlternateContent xmlns:mc="http://schemas.openxmlformats.org/markup-compatibility/2006">
      <mc:Choice Requires="x14">
        <control shapeId="7489" r:id="rId62" name="OptionButton44">
          <controlPr defaultSize="0" autoLine="0" linkedCell="'C.Recicladores'!M75" r:id="rId63">
            <anchor moveWithCells="1">
              <from>
                <xdr:col>12</xdr:col>
                <xdr:colOff>476250</xdr:colOff>
                <xdr:row>127</xdr:row>
                <xdr:rowOff>57150</xdr:rowOff>
              </from>
              <to>
                <xdr:col>12</xdr:col>
                <xdr:colOff>638175</xdr:colOff>
                <xdr:row>127</xdr:row>
                <xdr:rowOff>180975</xdr:rowOff>
              </to>
            </anchor>
          </controlPr>
        </control>
      </mc:Choice>
      <mc:Fallback>
        <control shapeId="7489" r:id="rId62" name="OptionButton44"/>
      </mc:Fallback>
    </mc:AlternateContent>
    <mc:AlternateContent xmlns:mc="http://schemas.openxmlformats.org/markup-compatibility/2006">
      <mc:Choice Requires="x14">
        <control shapeId="7491" r:id="rId64" name="OptionButton45">
          <controlPr defaultSize="0" autoLine="0" linkedCell="'C.Recicladores'!N75" r:id="rId65">
            <anchor moveWithCells="1">
              <from>
                <xdr:col>13</xdr:col>
                <xdr:colOff>476250</xdr:colOff>
                <xdr:row>127</xdr:row>
                <xdr:rowOff>57150</xdr:rowOff>
              </from>
              <to>
                <xdr:col>13</xdr:col>
                <xdr:colOff>638175</xdr:colOff>
                <xdr:row>127</xdr:row>
                <xdr:rowOff>180975</xdr:rowOff>
              </to>
            </anchor>
          </controlPr>
        </control>
      </mc:Choice>
      <mc:Fallback>
        <control shapeId="7491" r:id="rId64" name="OptionButton45"/>
      </mc:Fallback>
    </mc:AlternateContent>
    <mc:AlternateContent xmlns:mc="http://schemas.openxmlformats.org/markup-compatibility/2006">
      <mc:Choice Requires="x14">
        <control shapeId="7492" r:id="rId66" name="OptionButton46">
          <controlPr defaultSize="0" autoLine="0" linkedCell="'C.Recicladores'!O75" r:id="rId67">
            <anchor moveWithCells="1">
              <from>
                <xdr:col>14</xdr:col>
                <xdr:colOff>476250</xdr:colOff>
                <xdr:row>127</xdr:row>
                <xdr:rowOff>57150</xdr:rowOff>
              </from>
              <to>
                <xdr:col>14</xdr:col>
                <xdr:colOff>638175</xdr:colOff>
                <xdr:row>127</xdr:row>
                <xdr:rowOff>180975</xdr:rowOff>
              </to>
            </anchor>
          </controlPr>
        </control>
      </mc:Choice>
      <mc:Fallback>
        <control shapeId="7492" r:id="rId66" name="OptionButton46"/>
      </mc:Fallback>
    </mc:AlternateContent>
    <mc:AlternateContent xmlns:mc="http://schemas.openxmlformats.org/markup-compatibility/2006">
      <mc:Choice Requires="x14">
        <control shapeId="7493" r:id="rId68" name="OptionButton47">
          <controlPr defaultSize="0" autoLine="0" linkedCell="'C.Recicladores'!M76" r:id="rId69">
            <anchor moveWithCells="1">
              <from>
                <xdr:col>12</xdr:col>
                <xdr:colOff>476250</xdr:colOff>
                <xdr:row>128</xdr:row>
                <xdr:rowOff>57150</xdr:rowOff>
              </from>
              <to>
                <xdr:col>12</xdr:col>
                <xdr:colOff>638175</xdr:colOff>
                <xdr:row>128</xdr:row>
                <xdr:rowOff>180975</xdr:rowOff>
              </to>
            </anchor>
          </controlPr>
        </control>
      </mc:Choice>
      <mc:Fallback>
        <control shapeId="7493" r:id="rId68" name="OptionButton47"/>
      </mc:Fallback>
    </mc:AlternateContent>
    <mc:AlternateContent xmlns:mc="http://schemas.openxmlformats.org/markup-compatibility/2006">
      <mc:Choice Requires="x14">
        <control shapeId="7494" r:id="rId70" name="OptionButton48">
          <controlPr defaultSize="0" autoLine="0" linkedCell="'C.Recicladores'!N76" r:id="rId71">
            <anchor moveWithCells="1">
              <from>
                <xdr:col>13</xdr:col>
                <xdr:colOff>476250</xdr:colOff>
                <xdr:row>128</xdr:row>
                <xdr:rowOff>57150</xdr:rowOff>
              </from>
              <to>
                <xdr:col>13</xdr:col>
                <xdr:colOff>638175</xdr:colOff>
                <xdr:row>128</xdr:row>
                <xdr:rowOff>180975</xdr:rowOff>
              </to>
            </anchor>
          </controlPr>
        </control>
      </mc:Choice>
      <mc:Fallback>
        <control shapeId="7494" r:id="rId70" name="OptionButton48"/>
      </mc:Fallback>
    </mc:AlternateContent>
    <mc:AlternateContent xmlns:mc="http://schemas.openxmlformats.org/markup-compatibility/2006">
      <mc:Choice Requires="x14">
        <control shapeId="7495" r:id="rId72" name="OptionButton49">
          <controlPr defaultSize="0" autoLine="0" linkedCell="'C.Recicladores'!O76" r:id="rId73">
            <anchor moveWithCells="1">
              <from>
                <xdr:col>14</xdr:col>
                <xdr:colOff>476250</xdr:colOff>
                <xdr:row>128</xdr:row>
                <xdr:rowOff>57150</xdr:rowOff>
              </from>
              <to>
                <xdr:col>14</xdr:col>
                <xdr:colOff>638175</xdr:colOff>
                <xdr:row>128</xdr:row>
                <xdr:rowOff>180975</xdr:rowOff>
              </to>
            </anchor>
          </controlPr>
        </control>
      </mc:Choice>
      <mc:Fallback>
        <control shapeId="7495" r:id="rId72" name="OptionButton49"/>
      </mc:Fallback>
    </mc:AlternateContent>
    <mc:AlternateContent xmlns:mc="http://schemas.openxmlformats.org/markup-compatibility/2006">
      <mc:Choice Requires="x14">
        <control shapeId="7496" r:id="rId74" name="OptionButton50">
          <controlPr defaultSize="0" autoLine="0" linkedCell="'C.Recicladores'!M77" r:id="rId75">
            <anchor moveWithCells="1">
              <from>
                <xdr:col>12</xdr:col>
                <xdr:colOff>476250</xdr:colOff>
                <xdr:row>129</xdr:row>
                <xdr:rowOff>57150</xdr:rowOff>
              </from>
              <to>
                <xdr:col>12</xdr:col>
                <xdr:colOff>638175</xdr:colOff>
                <xdr:row>129</xdr:row>
                <xdr:rowOff>180975</xdr:rowOff>
              </to>
            </anchor>
          </controlPr>
        </control>
      </mc:Choice>
      <mc:Fallback>
        <control shapeId="7496" r:id="rId74" name="OptionButton50"/>
      </mc:Fallback>
    </mc:AlternateContent>
    <mc:AlternateContent xmlns:mc="http://schemas.openxmlformats.org/markup-compatibility/2006">
      <mc:Choice Requires="x14">
        <control shapeId="7497" r:id="rId76" name="OptionButton51">
          <controlPr defaultSize="0" autoLine="0" linkedCell="'C.Recicladores'!N77" r:id="rId77">
            <anchor moveWithCells="1">
              <from>
                <xdr:col>13</xdr:col>
                <xdr:colOff>476250</xdr:colOff>
                <xdr:row>129</xdr:row>
                <xdr:rowOff>57150</xdr:rowOff>
              </from>
              <to>
                <xdr:col>13</xdr:col>
                <xdr:colOff>638175</xdr:colOff>
                <xdr:row>129</xdr:row>
                <xdr:rowOff>180975</xdr:rowOff>
              </to>
            </anchor>
          </controlPr>
        </control>
      </mc:Choice>
      <mc:Fallback>
        <control shapeId="7497" r:id="rId76" name="OptionButton51"/>
      </mc:Fallback>
    </mc:AlternateContent>
    <mc:AlternateContent xmlns:mc="http://schemas.openxmlformats.org/markup-compatibility/2006">
      <mc:Choice Requires="x14">
        <control shapeId="7498" r:id="rId78" name="OptionButton52">
          <controlPr defaultSize="0" autoLine="0" linkedCell="'C.Recicladores'!O77" r:id="rId79">
            <anchor moveWithCells="1">
              <from>
                <xdr:col>14</xdr:col>
                <xdr:colOff>476250</xdr:colOff>
                <xdr:row>129</xdr:row>
                <xdr:rowOff>57150</xdr:rowOff>
              </from>
              <to>
                <xdr:col>14</xdr:col>
                <xdr:colOff>638175</xdr:colOff>
                <xdr:row>129</xdr:row>
                <xdr:rowOff>180975</xdr:rowOff>
              </to>
            </anchor>
          </controlPr>
        </control>
      </mc:Choice>
      <mc:Fallback>
        <control shapeId="7498" r:id="rId78" name="OptionButton52"/>
      </mc:Fallback>
    </mc:AlternateContent>
    <mc:AlternateContent xmlns:mc="http://schemas.openxmlformats.org/markup-compatibility/2006">
      <mc:Choice Requires="x14">
        <control shapeId="7499" r:id="rId80" name="OptionButton53">
          <controlPr defaultSize="0" autoLine="0" linkedCell="'C.Recicladores'!M140" r:id="rId81">
            <anchor moveWithCells="1">
              <from>
                <xdr:col>10</xdr:col>
                <xdr:colOff>180975</xdr:colOff>
                <xdr:row>180</xdr:row>
                <xdr:rowOff>57150</xdr:rowOff>
              </from>
              <to>
                <xdr:col>10</xdr:col>
                <xdr:colOff>342900</xdr:colOff>
                <xdr:row>180</xdr:row>
                <xdr:rowOff>200025</xdr:rowOff>
              </to>
            </anchor>
          </controlPr>
        </control>
      </mc:Choice>
      <mc:Fallback>
        <control shapeId="7499" r:id="rId80" name="OptionButton53"/>
      </mc:Fallback>
    </mc:AlternateContent>
    <mc:AlternateContent xmlns:mc="http://schemas.openxmlformats.org/markup-compatibility/2006">
      <mc:Choice Requires="x14">
        <control shapeId="7500" r:id="rId82" name="OptionButton54">
          <controlPr defaultSize="0" autoLine="0" linkedCell="'C.Recicladores'!N140" r:id="rId83">
            <anchor moveWithCells="1">
              <from>
                <xdr:col>12</xdr:col>
                <xdr:colOff>523875</xdr:colOff>
                <xdr:row>180</xdr:row>
                <xdr:rowOff>57150</xdr:rowOff>
              </from>
              <to>
                <xdr:col>12</xdr:col>
                <xdr:colOff>685800</xdr:colOff>
                <xdr:row>180</xdr:row>
                <xdr:rowOff>200025</xdr:rowOff>
              </to>
            </anchor>
          </controlPr>
        </control>
      </mc:Choice>
      <mc:Fallback>
        <control shapeId="7500" r:id="rId82" name="OptionButton54"/>
      </mc:Fallback>
    </mc:AlternateContent>
    <mc:AlternateContent xmlns:mc="http://schemas.openxmlformats.org/markup-compatibility/2006">
      <mc:Choice Requires="x14">
        <control shapeId="7501" r:id="rId84" name="OptionButton55">
          <controlPr defaultSize="0" autoLine="0" linkedCell="'C.Recicladores'!O140" r:id="rId85">
            <anchor moveWithCells="1">
              <from>
                <xdr:col>13</xdr:col>
                <xdr:colOff>495300</xdr:colOff>
                <xdr:row>180</xdr:row>
                <xdr:rowOff>47625</xdr:rowOff>
              </from>
              <to>
                <xdr:col>13</xdr:col>
                <xdr:colOff>657225</xdr:colOff>
                <xdr:row>180</xdr:row>
                <xdr:rowOff>190500</xdr:rowOff>
              </to>
            </anchor>
          </controlPr>
        </control>
      </mc:Choice>
      <mc:Fallback>
        <control shapeId="7501" r:id="rId84" name="OptionButton55"/>
      </mc:Fallback>
    </mc:AlternateContent>
    <mc:AlternateContent xmlns:mc="http://schemas.openxmlformats.org/markup-compatibility/2006">
      <mc:Choice Requires="x14">
        <control shapeId="7502" r:id="rId86" name="OptionButton56">
          <controlPr defaultSize="0" autoLine="0" linkedCell="'C.Recicladores'!M141" r:id="rId87">
            <anchor moveWithCells="1">
              <from>
                <xdr:col>10</xdr:col>
                <xdr:colOff>180975</xdr:colOff>
                <xdr:row>181</xdr:row>
                <xdr:rowOff>57150</xdr:rowOff>
              </from>
              <to>
                <xdr:col>10</xdr:col>
                <xdr:colOff>342900</xdr:colOff>
                <xdr:row>181</xdr:row>
                <xdr:rowOff>200025</xdr:rowOff>
              </to>
            </anchor>
          </controlPr>
        </control>
      </mc:Choice>
      <mc:Fallback>
        <control shapeId="7502" r:id="rId86" name="OptionButton56"/>
      </mc:Fallback>
    </mc:AlternateContent>
    <mc:AlternateContent xmlns:mc="http://schemas.openxmlformats.org/markup-compatibility/2006">
      <mc:Choice Requires="x14">
        <control shapeId="7503" r:id="rId88" name="OptionButton57">
          <controlPr defaultSize="0" autoLine="0" linkedCell="'C.Recicladores'!N141" r:id="rId89">
            <anchor moveWithCells="1">
              <from>
                <xdr:col>12</xdr:col>
                <xdr:colOff>523875</xdr:colOff>
                <xdr:row>181</xdr:row>
                <xdr:rowOff>38100</xdr:rowOff>
              </from>
              <to>
                <xdr:col>12</xdr:col>
                <xdr:colOff>685800</xdr:colOff>
                <xdr:row>181</xdr:row>
                <xdr:rowOff>180975</xdr:rowOff>
              </to>
            </anchor>
          </controlPr>
        </control>
      </mc:Choice>
      <mc:Fallback>
        <control shapeId="7503" r:id="rId88" name="OptionButton57"/>
      </mc:Fallback>
    </mc:AlternateContent>
    <mc:AlternateContent xmlns:mc="http://schemas.openxmlformats.org/markup-compatibility/2006">
      <mc:Choice Requires="x14">
        <control shapeId="7504" r:id="rId90" name="OptionButton58">
          <controlPr defaultSize="0" autoLine="0" linkedCell="'C.Recicladores'!O141" r:id="rId91">
            <anchor moveWithCells="1">
              <from>
                <xdr:col>13</xdr:col>
                <xdr:colOff>504825</xdr:colOff>
                <xdr:row>181</xdr:row>
                <xdr:rowOff>47625</xdr:rowOff>
              </from>
              <to>
                <xdr:col>13</xdr:col>
                <xdr:colOff>666750</xdr:colOff>
                <xdr:row>181</xdr:row>
                <xdr:rowOff>190500</xdr:rowOff>
              </to>
            </anchor>
          </controlPr>
        </control>
      </mc:Choice>
      <mc:Fallback>
        <control shapeId="7504" r:id="rId90" name="OptionButton58"/>
      </mc:Fallback>
    </mc:AlternateContent>
    <mc:AlternateContent xmlns:mc="http://schemas.openxmlformats.org/markup-compatibility/2006">
      <mc:Choice Requires="x14">
        <control shapeId="7505" r:id="rId92" name="OptionButton59">
          <controlPr defaultSize="0" autoLine="0" linkedCell="'C.Recicladores'!M142" r:id="rId93">
            <anchor moveWithCells="1">
              <from>
                <xdr:col>10</xdr:col>
                <xdr:colOff>171450</xdr:colOff>
                <xdr:row>182</xdr:row>
                <xdr:rowOff>57150</xdr:rowOff>
              </from>
              <to>
                <xdr:col>10</xdr:col>
                <xdr:colOff>333375</xdr:colOff>
                <xdr:row>182</xdr:row>
                <xdr:rowOff>200025</xdr:rowOff>
              </to>
            </anchor>
          </controlPr>
        </control>
      </mc:Choice>
      <mc:Fallback>
        <control shapeId="7505" r:id="rId92" name="OptionButton59"/>
      </mc:Fallback>
    </mc:AlternateContent>
    <mc:AlternateContent xmlns:mc="http://schemas.openxmlformats.org/markup-compatibility/2006">
      <mc:Choice Requires="x14">
        <control shapeId="7506" r:id="rId94" name="OptionButton60">
          <controlPr defaultSize="0" autoLine="0" linkedCell="'C.Recicladores'!N142" r:id="rId95">
            <anchor moveWithCells="1">
              <from>
                <xdr:col>12</xdr:col>
                <xdr:colOff>533400</xdr:colOff>
                <xdr:row>182</xdr:row>
                <xdr:rowOff>47625</xdr:rowOff>
              </from>
              <to>
                <xdr:col>12</xdr:col>
                <xdr:colOff>695325</xdr:colOff>
                <xdr:row>182</xdr:row>
                <xdr:rowOff>190500</xdr:rowOff>
              </to>
            </anchor>
          </controlPr>
        </control>
      </mc:Choice>
      <mc:Fallback>
        <control shapeId="7506" r:id="rId94" name="OptionButton60"/>
      </mc:Fallback>
    </mc:AlternateContent>
    <mc:AlternateContent xmlns:mc="http://schemas.openxmlformats.org/markup-compatibility/2006">
      <mc:Choice Requires="x14">
        <control shapeId="7507" r:id="rId96" name="OptionButton61">
          <controlPr defaultSize="0" autoLine="0" linkedCell="'C.Recicladores'!O142" r:id="rId97">
            <anchor moveWithCells="1">
              <from>
                <xdr:col>13</xdr:col>
                <xdr:colOff>495300</xdr:colOff>
                <xdr:row>182</xdr:row>
                <xdr:rowOff>47625</xdr:rowOff>
              </from>
              <to>
                <xdr:col>13</xdr:col>
                <xdr:colOff>657225</xdr:colOff>
                <xdr:row>182</xdr:row>
                <xdr:rowOff>190500</xdr:rowOff>
              </to>
            </anchor>
          </controlPr>
        </control>
      </mc:Choice>
      <mc:Fallback>
        <control shapeId="7507" r:id="rId96" name="OptionButton61"/>
      </mc:Fallback>
    </mc:AlternateContent>
    <mc:AlternateContent xmlns:mc="http://schemas.openxmlformats.org/markup-compatibility/2006">
      <mc:Choice Requires="x14">
        <control shapeId="7508" r:id="rId98" name="OptionButton62">
          <controlPr defaultSize="0" autoLine="0" linkedCell="'C.Recicladores'!M100" r:id="rId99">
            <anchor moveWithCells="1">
              <from>
                <xdr:col>13</xdr:col>
                <xdr:colOff>457200</xdr:colOff>
                <xdr:row>193</xdr:row>
                <xdr:rowOff>57150</xdr:rowOff>
              </from>
              <to>
                <xdr:col>13</xdr:col>
                <xdr:colOff>647700</xdr:colOff>
                <xdr:row>193</xdr:row>
                <xdr:rowOff>219075</xdr:rowOff>
              </to>
            </anchor>
          </controlPr>
        </control>
      </mc:Choice>
      <mc:Fallback>
        <control shapeId="7508" r:id="rId98" name="OptionButton62"/>
      </mc:Fallback>
    </mc:AlternateContent>
    <mc:AlternateContent xmlns:mc="http://schemas.openxmlformats.org/markup-compatibility/2006">
      <mc:Choice Requires="x14">
        <control shapeId="7509" r:id="rId100" name="OptionButton63">
          <controlPr defaultSize="0" autoLine="0" linkedCell="'C.Recicladores'!N100" r:id="rId101">
            <anchor moveWithCells="1">
              <from>
                <xdr:col>14</xdr:col>
                <xdr:colOff>457200</xdr:colOff>
                <xdr:row>193</xdr:row>
                <xdr:rowOff>57150</xdr:rowOff>
              </from>
              <to>
                <xdr:col>14</xdr:col>
                <xdr:colOff>647700</xdr:colOff>
                <xdr:row>193</xdr:row>
                <xdr:rowOff>219075</xdr:rowOff>
              </to>
            </anchor>
          </controlPr>
        </control>
      </mc:Choice>
      <mc:Fallback>
        <control shapeId="7509" r:id="rId100" name="OptionButton63"/>
      </mc:Fallback>
    </mc:AlternateContent>
    <mc:AlternateContent xmlns:mc="http://schemas.openxmlformats.org/markup-compatibility/2006">
      <mc:Choice Requires="x14">
        <control shapeId="7510" r:id="rId102" name="OptionButton64">
          <controlPr defaultSize="0" autoLine="0" linkedCell="'C.Recicladores'!O100" r:id="rId103">
            <anchor moveWithCells="1">
              <from>
                <xdr:col>15</xdr:col>
                <xdr:colOff>457200</xdr:colOff>
                <xdr:row>193</xdr:row>
                <xdr:rowOff>57150</xdr:rowOff>
              </from>
              <to>
                <xdr:col>15</xdr:col>
                <xdr:colOff>647700</xdr:colOff>
                <xdr:row>193</xdr:row>
                <xdr:rowOff>219075</xdr:rowOff>
              </to>
            </anchor>
          </controlPr>
        </control>
      </mc:Choice>
      <mc:Fallback>
        <control shapeId="7510" r:id="rId102" name="OptionButton64"/>
      </mc:Fallback>
    </mc:AlternateContent>
    <mc:AlternateContent xmlns:mc="http://schemas.openxmlformats.org/markup-compatibility/2006">
      <mc:Choice Requires="x14">
        <control shapeId="7514" r:id="rId104" name="OptionButton68">
          <controlPr defaultSize="0" autoLine="0" linkedCell="'C.Recicladores'!M102" r:id="rId105">
            <anchor moveWithCells="1">
              <from>
                <xdr:col>13</xdr:col>
                <xdr:colOff>457200</xdr:colOff>
                <xdr:row>195</xdr:row>
                <xdr:rowOff>57150</xdr:rowOff>
              </from>
              <to>
                <xdr:col>13</xdr:col>
                <xdr:colOff>647700</xdr:colOff>
                <xdr:row>195</xdr:row>
                <xdr:rowOff>219075</xdr:rowOff>
              </to>
            </anchor>
          </controlPr>
        </control>
      </mc:Choice>
      <mc:Fallback>
        <control shapeId="7514" r:id="rId104" name="OptionButton68"/>
      </mc:Fallback>
    </mc:AlternateContent>
    <mc:AlternateContent xmlns:mc="http://schemas.openxmlformats.org/markup-compatibility/2006">
      <mc:Choice Requires="x14">
        <control shapeId="7515" r:id="rId106" name="OptionButton69">
          <controlPr defaultSize="0" autoLine="0" linkedCell="'C.Recicladores'!N102" r:id="rId107">
            <anchor moveWithCells="1">
              <from>
                <xdr:col>14</xdr:col>
                <xdr:colOff>457200</xdr:colOff>
                <xdr:row>195</xdr:row>
                <xdr:rowOff>57150</xdr:rowOff>
              </from>
              <to>
                <xdr:col>14</xdr:col>
                <xdr:colOff>647700</xdr:colOff>
                <xdr:row>195</xdr:row>
                <xdr:rowOff>219075</xdr:rowOff>
              </to>
            </anchor>
          </controlPr>
        </control>
      </mc:Choice>
      <mc:Fallback>
        <control shapeId="7515" r:id="rId106" name="OptionButton69"/>
      </mc:Fallback>
    </mc:AlternateContent>
    <mc:AlternateContent xmlns:mc="http://schemas.openxmlformats.org/markup-compatibility/2006">
      <mc:Choice Requires="x14">
        <control shapeId="7516" r:id="rId108" name="OptionButton70">
          <controlPr defaultSize="0" autoLine="0" linkedCell="'C.Recicladores'!O102" r:id="rId109">
            <anchor moveWithCells="1">
              <from>
                <xdr:col>15</xdr:col>
                <xdr:colOff>457200</xdr:colOff>
                <xdr:row>195</xdr:row>
                <xdr:rowOff>57150</xdr:rowOff>
              </from>
              <to>
                <xdr:col>15</xdr:col>
                <xdr:colOff>647700</xdr:colOff>
                <xdr:row>195</xdr:row>
                <xdr:rowOff>219075</xdr:rowOff>
              </to>
            </anchor>
          </controlPr>
        </control>
      </mc:Choice>
      <mc:Fallback>
        <control shapeId="7516" r:id="rId108" name="OptionButton70"/>
      </mc:Fallback>
    </mc:AlternateContent>
    <mc:AlternateContent xmlns:mc="http://schemas.openxmlformats.org/markup-compatibility/2006">
      <mc:Choice Requires="x14">
        <control shapeId="7517" r:id="rId110" name="OptionButton71">
          <controlPr defaultSize="0" autoLine="0" linkedCell="'C.Recicladores'!M103" r:id="rId111">
            <anchor moveWithCells="1">
              <from>
                <xdr:col>13</xdr:col>
                <xdr:colOff>457200</xdr:colOff>
                <xdr:row>196</xdr:row>
                <xdr:rowOff>47625</xdr:rowOff>
              </from>
              <to>
                <xdr:col>13</xdr:col>
                <xdr:colOff>647700</xdr:colOff>
                <xdr:row>196</xdr:row>
                <xdr:rowOff>209550</xdr:rowOff>
              </to>
            </anchor>
          </controlPr>
        </control>
      </mc:Choice>
      <mc:Fallback>
        <control shapeId="7517" r:id="rId110" name="OptionButton71"/>
      </mc:Fallback>
    </mc:AlternateContent>
    <mc:AlternateContent xmlns:mc="http://schemas.openxmlformats.org/markup-compatibility/2006">
      <mc:Choice Requires="x14">
        <control shapeId="7523" r:id="rId112" name="OptionButton77">
          <controlPr defaultSize="0" autoLine="0" linkedCell="'C.Recicladores'!M105" r:id="rId113">
            <anchor moveWithCells="1">
              <from>
                <xdr:col>13</xdr:col>
                <xdr:colOff>457200</xdr:colOff>
                <xdr:row>198</xdr:row>
                <xdr:rowOff>85725</xdr:rowOff>
              </from>
              <to>
                <xdr:col>13</xdr:col>
                <xdr:colOff>647700</xdr:colOff>
                <xdr:row>198</xdr:row>
                <xdr:rowOff>247650</xdr:rowOff>
              </to>
            </anchor>
          </controlPr>
        </control>
      </mc:Choice>
      <mc:Fallback>
        <control shapeId="7523" r:id="rId112" name="OptionButton77"/>
      </mc:Fallback>
    </mc:AlternateContent>
    <mc:AlternateContent xmlns:mc="http://schemas.openxmlformats.org/markup-compatibility/2006">
      <mc:Choice Requires="x14">
        <control shapeId="7525" r:id="rId114" name="OptionButton78">
          <controlPr defaultSize="0" autoLine="0" linkedCell="'C.Recicladores'!N105" r:id="rId115">
            <anchor moveWithCells="1">
              <from>
                <xdr:col>14</xdr:col>
                <xdr:colOff>457200</xdr:colOff>
                <xdr:row>198</xdr:row>
                <xdr:rowOff>85725</xdr:rowOff>
              </from>
              <to>
                <xdr:col>14</xdr:col>
                <xdr:colOff>647700</xdr:colOff>
                <xdr:row>198</xdr:row>
                <xdr:rowOff>247650</xdr:rowOff>
              </to>
            </anchor>
          </controlPr>
        </control>
      </mc:Choice>
      <mc:Fallback>
        <control shapeId="7525" r:id="rId114" name="OptionButton78"/>
      </mc:Fallback>
    </mc:AlternateContent>
    <mc:AlternateContent xmlns:mc="http://schemas.openxmlformats.org/markup-compatibility/2006">
      <mc:Choice Requires="x14">
        <control shapeId="7526" r:id="rId116" name="OptionButton79">
          <controlPr defaultSize="0" autoLine="0" linkedCell="'C.Recicladores'!O105" r:id="rId117">
            <anchor moveWithCells="1">
              <from>
                <xdr:col>15</xdr:col>
                <xdr:colOff>457200</xdr:colOff>
                <xdr:row>198</xdr:row>
                <xdr:rowOff>85725</xdr:rowOff>
              </from>
              <to>
                <xdr:col>15</xdr:col>
                <xdr:colOff>647700</xdr:colOff>
                <xdr:row>198</xdr:row>
                <xdr:rowOff>247650</xdr:rowOff>
              </to>
            </anchor>
          </controlPr>
        </control>
      </mc:Choice>
      <mc:Fallback>
        <control shapeId="7526" r:id="rId116" name="OptionButton79"/>
      </mc:Fallback>
    </mc:AlternateContent>
    <mc:AlternateContent xmlns:mc="http://schemas.openxmlformats.org/markup-compatibility/2006">
      <mc:Choice Requires="x14">
        <control shapeId="7527" r:id="rId118" name="OptionButton80">
          <controlPr defaultSize="0" autoLine="0" linkedCell="'C.Recicladores'!M106" r:id="rId119">
            <anchor moveWithCells="1">
              <from>
                <xdr:col>13</xdr:col>
                <xdr:colOff>457200</xdr:colOff>
                <xdr:row>199</xdr:row>
                <xdr:rowOff>85725</xdr:rowOff>
              </from>
              <to>
                <xdr:col>13</xdr:col>
                <xdr:colOff>647700</xdr:colOff>
                <xdr:row>199</xdr:row>
                <xdr:rowOff>247650</xdr:rowOff>
              </to>
            </anchor>
          </controlPr>
        </control>
      </mc:Choice>
      <mc:Fallback>
        <control shapeId="7527" r:id="rId118" name="OptionButton80"/>
      </mc:Fallback>
    </mc:AlternateContent>
    <mc:AlternateContent xmlns:mc="http://schemas.openxmlformats.org/markup-compatibility/2006">
      <mc:Choice Requires="x14">
        <control shapeId="7528" r:id="rId120" name="OptionButton81">
          <controlPr defaultSize="0" autoLine="0" linkedCell="'C.Recicladores'!N106" r:id="rId121">
            <anchor moveWithCells="1">
              <from>
                <xdr:col>14</xdr:col>
                <xdr:colOff>457200</xdr:colOff>
                <xdr:row>199</xdr:row>
                <xdr:rowOff>85725</xdr:rowOff>
              </from>
              <to>
                <xdr:col>14</xdr:col>
                <xdr:colOff>647700</xdr:colOff>
                <xdr:row>199</xdr:row>
                <xdr:rowOff>247650</xdr:rowOff>
              </to>
            </anchor>
          </controlPr>
        </control>
      </mc:Choice>
      <mc:Fallback>
        <control shapeId="7528" r:id="rId120" name="OptionButton81"/>
      </mc:Fallback>
    </mc:AlternateContent>
    <mc:AlternateContent xmlns:mc="http://schemas.openxmlformats.org/markup-compatibility/2006">
      <mc:Choice Requires="x14">
        <control shapeId="7529" r:id="rId122" name="OptionButton82">
          <controlPr defaultSize="0" autoLine="0" linkedCell="'C.Recicladores'!O106" r:id="rId123">
            <anchor moveWithCells="1">
              <from>
                <xdr:col>15</xdr:col>
                <xdr:colOff>457200</xdr:colOff>
                <xdr:row>199</xdr:row>
                <xdr:rowOff>85725</xdr:rowOff>
              </from>
              <to>
                <xdr:col>15</xdr:col>
                <xdr:colOff>647700</xdr:colOff>
                <xdr:row>199</xdr:row>
                <xdr:rowOff>247650</xdr:rowOff>
              </to>
            </anchor>
          </controlPr>
        </control>
      </mc:Choice>
      <mc:Fallback>
        <control shapeId="7529" r:id="rId122" name="OptionButton82"/>
      </mc:Fallback>
    </mc:AlternateContent>
    <mc:AlternateContent xmlns:mc="http://schemas.openxmlformats.org/markup-compatibility/2006">
      <mc:Choice Requires="x14">
        <control shapeId="7530" r:id="rId124" name="OptionButton83">
          <controlPr defaultSize="0" autoLine="0" linkedCell="'C.Recicladores'!M107" r:id="rId125">
            <anchor moveWithCells="1">
              <from>
                <xdr:col>13</xdr:col>
                <xdr:colOff>457200</xdr:colOff>
                <xdr:row>200</xdr:row>
                <xdr:rowOff>85725</xdr:rowOff>
              </from>
              <to>
                <xdr:col>13</xdr:col>
                <xdr:colOff>647700</xdr:colOff>
                <xdr:row>200</xdr:row>
                <xdr:rowOff>247650</xdr:rowOff>
              </to>
            </anchor>
          </controlPr>
        </control>
      </mc:Choice>
      <mc:Fallback>
        <control shapeId="7530" r:id="rId124" name="OptionButton83"/>
      </mc:Fallback>
    </mc:AlternateContent>
    <mc:AlternateContent xmlns:mc="http://schemas.openxmlformats.org/markup-compatibility/2006">
      <mc:Choice Requires="x14">
        <control shapeId="7531" r:id="rId126" name="OptionButton84">
          <controlPr defaultSize="0" autoLine="0" linkedCell="'C.Recicladores'!N107" r:id="rId127">
            <anchor moveWithCells="1">
              <from>
                <xdr:col>14</xdr:col>
                <xdr:colOff>457200</xdr:colOff>
                <xdr:row>200</xdr:row>
                <xdr:rowOff>85725</xdr:rowOff>
              </from>
              <to>
                <xdr:col>14</xdr:col>
                <xdr:colOff>647700</xdr:colOff>
                <xdr:row>200</xdr:row>
                <xdr:rowOff>247650</xdr:rowOff>
              </to>
            </anchor>
          </controlPr>
        </control>
      </mc:Choice>
      <mc:Fallback>
        <control shapeId="7531" r:id="rId126" name="OptionButton84"/>
      </mc:Fallback>
    </mc:AlternateContent>
    <mc:AlternateContent xmlns:mc="http://schemas.openxmlformats.org/markup-compatibility/2006">
      <mc:Choice Requires="x14">
        <control shapeId="7532" r:id="rId128" name="OptionButton85">
          <controlPr defaultSize="0" autoLine="0" linkedCell="'C.Recicladores'!O107" r:id="rId129">
            <anchor moveWithCells="1">
              <from>
                <xdr:col>15</xdr:col>
                <xdr:colOff>457200</xdr:colOff>
                <xdr:row>200</xdr:row>
                <xdr:rowOff>85725</xdr:rowOff>
              </from>
              <to>
                <xdr:col>15</xdr:col>
                <xdr:colOff>647700</xdr:colOff>
                <xdr:row>200</xdr:row>
                <xdr:rowOff>247650</xdr:rowOff>
              </to>
            </anchor>
          </controlPr>
        </control>
      </mc:Choice>
      <mc:Fallback>
        <control shapeId="7532" r:id="rId128" name="OptionButton85"/>
      </mc:Fallback>
    </mc:AlternateContent>
    <mc:AlternateContent xmlns:mc="http://schemas.openxmlformats.org/markup-compatibility/2006">
      <mc:Choice Requires="x14">
        <control shapeId="7533" r:id="rId130" name="OptionButton86">
          <controlPr defaultSize="0" autoLine="0" linkedCell="'C.Recicladores'!M108" r:id="rId131">
            <anchor moveWithCells="1">
              <from>
                <xdr:col>13</xdr:col>
                <xdr:colOff>457200</xdr:colOff>
                <xdr:row>201</xdr:row>
                <xdr:rowOff>85725</xdr:rowOff>
              </from>
              <to>
                <xdr:col>13</xdr:col>
                <xdr:colOff>647700</xdr:colOff>
                <xdr:row>201</xdr:row>
                <xdr:rowOff>247650</xdr:rowOff>
              </to>
            </anchor>
          </controlPr>
        </control>
      </mc:Choice>
      <mc:Fallback>
        <control shapeId="7533" r:id="rId130" name="OptionButton86"/>
      </mc:Fallback>
    </mc:AlternateContent>
    <mc:AlternateContent xmlns:mc="http://schemas.openxmlformats.org/markup-compatibility/2006">
      <mc:Choice Requires="x14">
        <control shapeId="7534" r:id="rId132" name="OptionButton87">
          <controlPr defaultSize="0" autoLine="0" linkedCell="'C.Recicladores'!N108" r:id="rId133">
            <anchor moveWithCells="1">
              <from>
                <xdr:col>14</xdr:col>
                <xdr:colOff>457200</xdr:colOff>
                <xdr:row>201</xdr:row>
                <xdr:rowOff>85725</xdr:rowOff>
              </from>
              <to>
                <xdr:col>14</xdr:col>
                <xdr:colOff>647700</xdr:colOff>
                <xdr:row>201</xdr:row>
                <xdr:rowOff>247650</xdr:rowOff>
              </to>
            </anchor>
          </controlPr>
        </control>
      </mc:Choice>
      <mc:Fallback>
        <control shapeId="7534" r:id="rId132" name="OptionButton87"/>
      </mc:Fallback>
    </mc:AlternateContent>
    <mc:AlternateContent xmlns:mc="http://schemas.openxmlformats.org/markup-compatibility/2006">
      <mc:Choice Requires="x14">
        <control shapeId="7535" r:id="rId134" name="OptionButton88">
          <controlPr defaultSize="0" autoLine="0" linkedCell="'C.Recicladores'!O108" r:id="rId135">
            <anchor moveWithCells="1">
              <from>
                <xdr:col>15</xdr:col>
                <xdr:colOff>457200</xdr:colOff>
                <xdr:row>201</xdr:row>
                <xdr:rowOff>85725</xdr:rowOff>
              </from>
              <to>
                <xdr:col>15</xdr:col>
                <xdr:colOff>647700</xdr:colOff>
                <xdr:row>201</xdr:row>
                <xdr:rowOff>247650</xdr:rowOff>
              </to>
            </anchor>
          </controlPr>
        </control>
      </mc:Choice>
      <mc:Fallback>
        <control shapeId="7535" r:id="rId134" name="OptionButton88"/>
      </mc:Fallback>
    </mc:AlternateContent>
    <mc:AlternateContent xmlns:mc="http://schemas.openxmlformats.org/markup-compatibility/2006">
      <mc:Choice Requires="x14">
        <control shapeId="7536" r:id="rId136" name="OptionButton89">
          <controlPr defaultSize="0" autoLine="0" linkedCell="'C.Recicladores'!M109" r:id="rId137">
            <anchor moveWithCells="1">
              <from>
                <xdr:col>13</xdr:col>
                <xdr:colOff>447675</xdr:colOff>
                <xdr:row>202</xdr:row>
                <xdr:rowOff>85725</xdr:rowOff>
              </from>
              <to>
                <xdr:col>13</xdr:col>
                <xdr:colOff>638175</xdr:colOff>
                <xdr:row>202</xdr:row>
                <xdr:rowOff>247650</xdr:rowOff>
              </to>
            </anchor>
          </controlPr>
        </control>
      </mc:Choice>
      <mc:Fallback>
        <control shapeId="7536" r:id="rId136" name="OptionButton89"/>
      </mc:Fallback>
    </mc:AlternateContent>
    <mc:AlternateContent xmlns:mc="http://schemas.openxmlformats.org/markup-compatibility/2006">
      <mc:Choice Requires="x14">
        <control shapeId="7537" r:id="rId138" name="OptionButton90">
          <controlPr defaultSize="0" autoLine="0" linkedCell="'C.Recicladores'!N109" r:id="rId139">
            <anchor moveWithCells="1">
              <from>
                <xdr:col>14</xdr:col>
                <xdr:colOff>447675</xdr:colOff>
                <xdr:row>202</xdr:row>
                <xdr:rowOff>85725</xdr:rowOff>
              </from>
              <to>
                <xdr:col>14</xdr:col>
                <xdr:colOff>638175</xdr:colOff>
                <xdr:row>202</xdr:row>
                <xdr:rowOff>247650</xdr:rowOff>
              </to>
            </anchor>
          </controlPr>
        </control>
      </mc:Choice>
      <mc:Fallback>
        <control shapeId="7537" r:id="rId138" name="OptionButton90"/>
      </mc:Fallback>
    </mc:AlternateContent>
    <mc:AlternateContent xmlns:mc="http://schemas.openxmlformats.org/markup-compatibility/2006">
      <mc:Choice Requires="x14">
        <control shapeId="7538" r:id="rId140" name="OptionButton91">
          <controlPr defaultSize="0" autoLine="0" linkedCell="'C.Recicladores'!O109" r:id="rId141">
            <anchor moveWithCells="1">
              <from>
                <xdr:col>15</xdr:col>
                <xdr:colOff>447675</xdr:colOff>
                <xdr:row>202</xdr:row>
                <xdr:rowOff>85725</xdr:rowOff>
              </from>
              <to>
                <xdr:col>15</xdr:col>
                <xdr:colOff>638175</xdr:colOff>
                <xdr:row>202</xdr:row>
                <xdr:rowOff>247650</xdr:rowOff>
              </to>
            </anchor>
          </controlPr>
        </control>
      </mc:Choice>
      <mc:Fallback>
        <control shapeId="7538" r:id="rId140" name="OptionButton91"/>
      </mc:Fallback>
    </mc:AlternateContent>
    <mc:AlternateContent xmlns:mc="http://schemas.openxmlformats.org/markup-compatibility/2006">
      <mc:Choice Requires="x14">
        <control shapeId="7539" r:id="rId142" name="OptionButton92">
          <controlPr defaultSize="0" autoLine="0" linkedCell="'C.Recicladores'!M110" r:id="rId143">
            <anchor moveWithCells="1">
              <from>
                <xdr:col>13</xdr:col>
                <xdr:colOff>447675</xdr:colOff>
                <xdr:row>203</xdr:row>
                <xdr:rowOff>85725</xdr:rowOff>
              </from>
              <to>
                <xdr:col>13</xdr:col>
                <xdr:colOff>638175</xdr:colOff>
                <xdr:row>203</xdr:row>
                <xdr:rowOff>247650</xdr:rowOff>
              </to>
            </anchor>
          </controlPr>
        </control>
      </mc:Choice>
      <mc:Fallback>
        <control shapeId="7539" r:id="rId142" name="OptionButton92"/>
      </mc:Fallback>
    </mc:AlternateContent>
    <mc:AlternateContent xmlns:mc="http://schemas.openxmlformats.org/markup-compatibility/2006">
      <mc:Choice Requires="x14">
        <control shapeId="7540" r:id="rId144" name="OptionButton93">
          <controlPr defaultSize="0" autoLine="0" linkedCell="'C.Recicladores'!N110" r:id="rId145">
            <anchor moveWithCells="1">
              <from>
                <xdr:col>14</xdr:col>
                <xdr:colOff>447675</xdr:colOff>
                <xdr:row>203</xdr:row>
                <xdr:rowOff>85725</xdr:rowOff>
              </from>
              <to>
                <xdr:col>14</xdr:col>
                <xdr:colOff>638175</xdr:colOff>
                <xdr:row>203</xdr:row>
                <xdr:rowOff>247650</xdr:rowOff>
              </to>
            </anchor>
          </controlPr>
        </control>
      </mc:Choice>
      <mc:Fallback>
        <control shapeId="7540" r:id="rId144" name="OptionButton93"/>
      </mc:Fallback>
    </mc:AlternateContent>
    <mc:AlternateContent xmlns:mc="http://schemas.openxmlformats.org/markup-compatibility/2006">
      <mc:Choice Requires="x14">
        <control shapeId="7541" r:id="rId146" name="OptionButton94">
          <controlPr defaultSize="0" autoLine="0" linkedCell="'C.Recicladores'!O110" r:id="rId147">
            <anchor moveWithCells="1">
              <from>
                <xdr:col>15</xdr:col>
                <xdr:colOff>447675</xdr:colOff>
                <xdr:row>203</xdr:row>
                <xdr:rowOff>85725</xdr:rowOff>
              </from>
              <to>
                <xdr:col>15</xdr:col>
                <xdr:colOff>638175</xdr:colOff>
                <xdr:row>203</xdr:row>
                <xdr:rowOff>247650</xdr:rowOff>
              </to>
            </anchor>
          </controlPr>
        </control>
      </mc:Choice>
      <mc:Fallback>
        <control shapeId="7541" r:id="rId146" name="OptionButton94"/>
      </mc:Fallback>
    </mc:AlternateContent>
    <mc:AlternateContent xmlns:mc="http://schemas.openxmlformats.org/markup-compatibility/2006">
      <mc:Choice Requires="x14">
        <control shapeId="7542" r:id="rId148" name="OptionButton95">
          <controlPr defaultSize="0" autoLine="0" linkedCell="'C.Recicladores'!M111" r:id="rId149">
            <anchor moveWithCells="1">
              <from>
                <xdr:col>13</xdr:col>
                <xdr:colOff>447675</xdr:colOff>
                <xdr:row>204</xdr:row>
                <xdr:rowOff>85725</xdr:rowOff>
              </from>
              <to>
                <xdr:col>13</xdr:col>
                <xdr:colOff>638175</xdr:colOff>
                <xdr:row>204</xdr:row>
                <xdr:rowOff>247650</xdr:rowOff>
              </to>
            </anchor>
          </controlPr>
        </control>
      </mc:Choice>
      <mc:Fallback>
        <control shapeId="7542" r:id="rId148" name="OptionButton95"/>
      </mc:Fallback>
    </mc:AlternateContent>
    <mc:AlternateContent xmlns:mc="http://schemas.openxmlformats.org/markup-compatibility/2006">
      <mc:Choice Requires="x14">
        <control shapeId="7544" r:id="rId150" name="OptionButton96">
          <controlPr defaultSize="0" autoLine="0" linkedCell="'C.Recicladores'!N111" r:id="rId151">
            <anchor moveWithCells="1">
              <from>
                <xdr:col>14</xdr:col>
                <xdr:colOff>447675</xdr:colOff>
                <xdr:row>204</xdr:row>
                <xdr:rowOff>85725</xdr:rowOff>
              </from>
              <to>
                <xdr:col>14</xdr:col>
                <xdr:colOff>638175</xdr:colOff>
                <xdr:row>204</xdr:row>
                <xdr:rowOff>247650</xdr:rowOff>
              </to>
            </anchor>
          </controlPr>
        </control>
      </mc:Choice>
      <mc:Fallback>
        <control shapeId="7544" r:id="rId150" name="OptionButton96"/>
      </mc:Fallback>
    </mc:AlternateContent>
    <mc:AlternateContent xmlns:mc="http://schemas.openxmlformats.org/markup-compatibility/2006">
      <mc:Choice Requires="x14">
        <control shapeId="7545" r:id="rId152" name="OptionButton97">
          <controlPr defaultSize="0" autoLine="0" linkedCell="'C.Recicladores'!O111" r:id="rId153">
            <anchor moveWithCells="1">
              <from>
                <xdr:col>15</xdr:col>
                <xdr:colOff>447675</xdr:colOff>
                <xdr:row>204</xdr:row>
                <xdr:rowOff>85725</xdr:rowOff>
              </from>
              <to>
                <xdr:col>15</xdr:col>
                <xdr:colOff>638175</xdr:colOff>
                <xdr:row>204</xdr:row>
                <xdr:rowOff>247650</xdr:rowOff>
              </to>
            </anchor>
          </controlPr>
        </control>
      </mc:Choice>
      <mc:Fallback>
        <control shapeId="7545" r:id="rId152" name="OptionButton97"/>
      </mc:Fallback>
    </mc:AlternateContent>
    <mc:AlternateContent xmlns:mc="http://schemas.openxmlformats.org/markup-compatibility/2006">
      <mc:Choice Requires="x14">
        <control shapeId="7546" r:id="rId154" name="OptionButton98">
          <controlPr defaultSize="0" autoLine="0" linkedCell="'C.Recicladores'!M112" r:id="rId155">
            <anchor moveWithCells="1">
              <from>
                <xdr:col>13</xdr:col>
                <xdr:colOff>447675</xdr:colOff>
                <xdr:row>205</xdr:row>
                <xdr:rowOff>85725</xdr:rowOff>
              </from>
              <to>
                <xdr:col>13</xdr:col>
                <xdr:colOff>638175</xdr:colOff>
                <xdr:row>205</xdr:row>
                <xdr:rowOff>247650</xdr:rowOff>
              </to>
            </anchor>
          </controlPr>
        </control>
      </mc:Choice>
      <mc:Fallback>
        <control shapeId="7546" r:id="rId154" name="OptionButton98"/>
      </mc:Fallback>
    </mc:AlternateContent>
    <mc:AlternateContent xmlns:mc="http://schemas.openxmlformats.org/markup-compatibility/2006">
      <mc:Choice Requires="x14">
        <control shapeId="7547" r:id="rId156" name="OptionButton99">
          <controlPr defaultSize="0" autoLine="0" linkedCell="'C.Recicladores'!N112" r:id="rId157">
            <anchor moveWithCells="1">
              <from>
                <xdr:col>14</xdr:col>
                <xdr:colOff>447675</xdr:colOff>
                <xdr:row>205</xdr:row>
                <xdr:rowOff>85725</xdr:rowOff>
              </from>
              <to>
                <xdr:col>14</xdr:col>
                <xdr:colOff>638175</xdr:colOff>
                <xdr:row>205</xdr:row>
                <xdr:rowOff>247650</xdr:rowOff>
              </to>
            </anchor>
          </controlPr>
        </control>
      </mc:Choice>
      <mc:Fallback>
        <control shapeId="7547" r:id="rId156" name="OptionButton99"/>
      </mc:Fallback>
    </mc:AlternateContent>
    <mc:AlternateContent xmlns:mc="http://schemas.openxmlformats.org/markup-compatibility/2006">
      <mc:Choice Requires="x14">
        <control shapeId="7548" r:id="rId158" name="OptionButton100">
          <controlPr defaultSize="0" autoLine="0" linkedCell="'C.Recicladores'!O112" r:id="rId159">
            <anchor moveWithCells="1">
              <from>
                <xdr:col>15</xdr:col>
                <xdr:colOff>447675</xdr:colOff>
                <xdr:row>205</xdr:row>
                <xdr:rowOff>85725</xdr:rowOff>
              </from>
              <to>
                <xdr:col>15</xdr:col>
                <xdr:colOff>638175</xdr:colOff>
                <xdr:row>205</xdr:row>
                <xdr:rowOff>247650</xdr:rowOff>
              </to>
            </anchor>
          </controlPr>
        </control>
      </mc:Choice>
      <mc:Fallback>
        <control shapeId="7548" r:id="rId158" name="OptionButton100"/>
      </mc:Fallback>
    </mc:AlternateContent>
    <mc:AlternateContent xmlns:mc="http://schemas.openxmlformats.org/markup-compatibility/2006">
      <mc:Choice Requires="x14">
        <control shapeId="7549" r:id="rId160" name="OptionButton101">
          <controlPr defaultSize="0" autoLine="0" linkedCell="'C.Recicladores'!M113" r:id="rId161">
            <anchor moveWithCells="1">
              <from>
                <xdr:col>13</xdr:col>
                <xdr:colOff>447675</xdr:colOff>
                <xdr:row>206</xdr:row>
                <xdr:rowOff>85725</xdr:rowOff>
              </from>
              <to>
                <xdr:col>13</xdr:col>
                <xdr:colOff>638175</xdr:colOff>
                <xdr:row>206</xdr:row>
                <xdr:rowOff>247650</xdr:rowOff>
              </to>
            </anchor>
          </controlPr>
        </control>
      </mc:Choice>
      <mc:Fallback>
        <control shapeId="7549" r:id="rId160" name="OptionButton101"/>
      </mc:Fallback>
    </mc:AlternateContent>
    <mc:AlternateContent xmlns:mc="http://schemas.openxmlformats.org/markup-compatibility/2006">
      <mc:Choice Requires="x14">
        <control shapeId="7550" r:id="rId162" name="OptionButton102">
          <controlPr defaultSize="0" autoLine="0" linkedCell="'C.Recicladores'!N113" r:id="rId163">
            <anchor moveWithCells="1">
              <from>
                <xdr:col>14</xdr:col>
                <xdr:colOff>447675</xdr:colOff>
                <xdr:row>206</xdr:row>
                <xdr:rowOff>85725</xdr:rowOff>
              </from>
              <to>
                <xdr:col>14</xdr:col>
                <xdr:colOff>638175</xdr:colOff>
                <xdr:row>206</xdr:row>
                <xdr:rowOff>247650</xdr:rowOff>
              </to>
            </anchor>
          </controlPr>
        </control>
      </mc:Choice>
      <mc:Fallback>
        <control shapeId="7550" r:id="rId162" name="OptionButton102"/>
      </mc:Fallback>
    </mc:AlternateContent>
    <mc:AlternateContent xmlns:mc="http://schemas.openxmlformats.org/markup-compatibility/2006">
      <mc:Choice Requires="x14">
        <control shapeId="7551" r:id="rId164" name="OptionButton103">
          <controlPr defaultSize="0" autoLine="0" linkedCell="'C.Recicladores'!O113" r:id="rId165">
            <anchor moveWithCells="1">
              <from>
                <xdr:col>15</xdr:col>
                <xdr:colOff>447675</xdr:colOff>
                <xdr:row>206</xdr:row>
                <xdr:rowOff>85725</xdr:rowOff>
              </from>
              <to>
                <xdr:col>15</xdr:col>
                <xdr:colOff>638175</xdr:colOff>
                <xdr:row>206</xdr:row>
                <xdr:rowOff>247650</xdr:rowOff>
              </to>
            </anchor>
          </controlPr>
        </control>
      </mc:Choice>
      <mc:Fallback>
        <control shapeId="7551" r:id="rId164" name="OptionButton103"/>
      </mc:Fallback>
    </mc:AlternateContent>
    <mc:AlternateContent xmlns:mc="http://schemas.openxmlformats.org/markup-compatibility/2006">
      <mc:Choice Requires="x14">
        <control shapeId="7552" r:id="rId166" name="OptionButton104">
          <controlPr defaultSize="0" autoLine="0" linkedCell="'C.Recicladores'!M114" r:id="rId167">
            <anchor moveWithCells="1">
              <from>
                <xdr:col>13</xdr:col>
                <xdr:colOff>447675</xdr:colOff>
                <xdr:row>207</xdr:row>
                <xdr:rowOff>85725</xdr:rowOff>
              </from>
              <to>
                <xdr:col>13</xdr:col>
                <xdr:colOff>638175</xdr:colOff>
                <xdr:row>207</xdr:row>
                <xdr:rowOff>247650</xdr:rowOff>
              </to>
            </anchor>
          </controlPr>
        </control>
      </mc:Choice>
      <mc:Fallback>
        <control shapeId="7552" r:id="rId166" name="OptionButton104"/>
      </mc:Fallback>
    </mc:AlternateContent>
    <mc:AlternateContent xmlns:mc="http://schemas.openxmlformats.org/markup-compatibility/2006">
      <mc:Choice Requires="x14">
        <control shapeId="7553" r:id="rId168" name="OptionButton105">
          <controlPr defaultSize="0" autoLine="0" linkedCell="'C.Recicladores'!N114" r:id="rId169">
            <anchor moveWithCells="1">
              <from>
                <xdr:col>14</xdr:col>
                <xdr:colOff>447675</xdr:colOff>
                <xdr:row>207</xdr:row>
                <xdr:rowOff>85725</xdr:rowOff>
              </from>
              <to>
                <xdr:col>14</xdr:col>
                <xdr:colOff>638175</xdr:colOff>
                <xdr:row>207</xdr:row>
                <xdr:rowOff>247650</xdr:rowOff>
              </to>
            </anchor>
          </controlPr>
        </control>
      </mc:Choice>
      <mc:Fallback>
        <control shapeId="7553" r:id="rId168" name="OptionButton105"/>
      </mc:Fallback>
    </mc:AlternateContent>
    <mc:AlternateContent xmlns:mc="http://schemas.openxmlformats.org/markup-compatibility/2006">
      <mc:Choice Requires="x14">
        <control shapeId="7554" r:id="rId170" name="OptionButton106">
          <controlPr defaultSize="0" autoLine="0" linkedCell="'C.Recicladores'!O114" r:id="rId171">
            <anchor moveWithCells="1">
              <from>
                <xdr:col>15</xdr:col>
                <xdr:colOff>447675</xdr:colOff>
                <xdr:row>207</xdr:row>
                <xdr:rowOff>85725</xdr:rowOff>
              </from>
              <to>
                <xdr:col>15</xdr:col>
                <xdr:colOff>638175</xdr:colOff>
                <xdr:row>207</xdr:row>
                <xdr:rowOff>247650</xdr:rowOff>
              </to>
            </anchor>
          </controlPr>
        </control>
      </mc:Choice>
      <mc:Fallback>
        <control shapeId="7554" r:id="rId170" name="OptionButton106"/>
      </mc:Fallback>
    </mc:AlternateContent>
    <mc:AlternateContent xmlns:mc="http://schemas.openxmlformats.org/markup-compatibility/2006">
      <mc:Choice Requires="x14">
        <control shapeId="7555" r:id="rId172" name="OptionButton107">
          <controlPr defaultSize="0" autoLine="0" linkedCell="'C.Recicladores'!M115" r:id="rId173">
            <anchor moveWithCells="1">
              <from>
                <xdr:col>13</xdr:col>
                <xdr:colOff>438150</xdr:colOff>
                <xdr:row>208</xdr:row>
                <xdr:rowOff>66675</xdr:rowOff>
              </from>
              <to>
                <xdr:col>13</xdr:col>
                <xdr:colOff>628650</xdr:colOff>
                <xdr:row>208</xdr:row>
                <xdr:rowOff>228600</xdr:rowOff>
              </to>
            </anchor>
          </controlPr>
        </control>
      </mc:Choice>
      <mc:Fallback>
        <control shapeId="7555" r:id="rId172" name="OptionButton107"/>
      </mc:Fallback>
    </mc:AlternateContent>
    <mc:AlternateContent xmlns:mc="http://schemas.openxmlformats.org/markup-compatibility/2006">
      <mc:Choice Requires="x14">
        <control shapeId="7556" r:id="rId174" name="OptionButton108">
          <controlPr defaultSize="0" autoLine="0" linkedCell="'C.Recicladores'!N115" r:id="rId175">
            <anchor moveWithCells="1">
              <from>
                <xdr:col>14</xdr:col>
                <xdr:colOff>438150</xdr:colOff>
                <xdr:row>208</xdr:row>
                <xdr:rowOff>66675</xdr:rowOff>
              </from>
              <to>
                <xdr:col>14</xdr:col>
                <xdr:colOff>628650</xdr:colOff>
                <xdr:row>208</xdr:row>
                <xdr:rowOff>228600</xdr:rowOff>
              </to>
            </anchor>
          </controlPr>
        </control>
      </mc:Choice>
      <mc:Fallback>
        <control shapeId="7556" r:id="rId174" name="OptionButton108"/>
      </mc:Fallback>
    </mc:AlternateContent>
    <mc:AlternateContent xmlns:mc="http://schemas.openxmlformats.org/markup-compatibility/2006">
      <mc:Choice Requires="x14">
        <control shapeId="7557" r:id="rId176" name="OptionButton109">
          <controlPr defaultSize="0" autoLine="0" linkedCell="'C.Recicladores'!O115" r:id="rId177">
            <anchor moveWithCells="1">
              <from>
                <xdr:col>15</xdr:col>
                <xdr:colOff>438150</xdr:colOff>
                <xdr:row>208</xdr:row>
                <xdr:rowOff>66675</xdr:rowOff>
              </from>
              <to>
                <xdr:col>15</xdr:col>
                <xdr:colOff>628650</xdr:colOff>
                <xdr:row>208</xdr:row>
                <xdr:rowOff>228600</xdr:rowOff>
              </to>
            </anchor>
          </controlPr>
        </control>
      </mc:Choice>
      <mc:Fallback>
        <control shapeId="7557" r:id="rId176" name="OptionButton109"/>
      </mc:Fallback>
    </mc:AlternateContent>
    <mc:AlternateContent xmlns:mc="http://schemas.openxmlformats.org/markup-compatibility/2006">
      <mc:Choice Requires="x14">
        <control shapeId="7558" r:id="rId178" name="OptionButton110">
          <controlPr defaultSize="0" autoLine="0" linkedCell="'C.Recicladores'!M116" r:id="rId179">
            <anchor moveWithCells="1">
              <from>
                <xdr:col>13</xdr:col>
                <xdr:colOff>438150</xdr:colOff>
                <xdr:row>209</xdr:row>
                <xdr:rowOff>66675</xdr:rowOff>
              </from>
              <to>
                <xdr:col>13</xdr:col>
                <xdr:colOff>628650</xdr:colOff>
                <xdr:row>209</xdr:row>
                <xdr:rowOff>228600</xdr:rowOff>
              </to>
            </anchor>
          </controlPr>
        </control>
      </mc:Choice>
      <mc:Fallback>
        <control shapeId="7558" r:id="rId178" name="OptionButton110"/>
      </mc:Fallback>
    </mc:AlternateContent>
    <mc:AlternateContent xmlns:mc="http://schemas.openxmlformats.org/markup-compatibility/2006">
      <mc:Choice Requires="x14">
        <control shapeId="7559" r:id="rId180" name="OptionButton111">
          <controlPr defaultSize="0" autoLine="0" linkedCell="'C.Recicladores'!N116" r:id="rId181">
            <anchor moveWithCells="1">
              <from>
                <xdr:col>14</xdr:col>
                <xdr:colOff>438150</xdr:colOff>
                <xdr:row>209</xdr:row>
                <xdr:rowOff>66675</xdr:rowOff>
              </from>
              <to>
                <xdr:col>14</xdr:col>
                <xdr:colOff>628650</xdr:colOff>
                <xdr:row>209</xdr:row>
                <xdr:rowOff>228600</xdr:rowOff>
              </to>
            </anchor>
          </controlPr>
        </control>
      </mc:Choice>
      <mc:Fallback>
        <control shapeId="7559" r:id="rId180" name="OptionButton111"/>
      </mc:Fallback>
    </mc:AlternateContent>
    <mc:AlternateContent xmlns:mc="http://schemas.openxmlformats.org/markup-compatibility/2006">
      <mc:Choice Requires="x14">
        <control shapeId="7560" r:id="rId182" name="OptionButton112">
          <controlPr defaultSize="0" autoLine="0" linkedCell="'C.Recicladores'!O116" r:id="rId183">
            <anchor moveWithCells="1">
              <from>
                <xdr:col>15</xdr:col>
                <xdr:colOff>438150</xdr:colOff>
                <xdr:row>209</xdr:row>
                <xdr:rowOff>66675</xdr:rowOff>
              </from>
              <to>
                <xdr:col>15</xdr:col>
                <xdr:colOff>628650</xdr:colOff>
                <xdr:row>209</xdr:row>
                <xdr:rowOff>228600</xdr:rowOff>
              </to>
            </anchor>
          </controlPr>
        </control>
      </mc:Choice>
      <mc:Fallback>
        <control shapeId="7560" r:id="rId182" name="OptionButton112"/>
      </mc:Fallback>
    </mc:AlternateContent>
    <mc:AlternateContent xmlns:mc="http://schemas.openxmlformats.org/markup-compatibility/2006">
      <mc:Choice Requires="x14">
        <control shapeId="7561" r:id="rId184" name="OptionButton113">
          <controlPr defaultSize="0" autoLine="0" linkedCell="'C.Recicladores'!M117" r:id="rId185">
            <anchor moveWithCells="1">
              <from>
                <xdr:col>13</xdr:col>
                <xdr:colOff>438150</xdr:colOff>
                <xdr:row>211</xdr:row>
                <xdr:rowOff>66675</xdr:rowOff>
              </from>
              <to>
                <xdr:col>13</xdr:col>
                <xdr:colOff>628650</xdr:colOff>
                <xdr:row>211</xdr:row>
                <xdr:rowOff>228600</xdr:rowOff>
              </to>
            </anchor>
          </controlPr>
        </control>
      </mc:Choice>
      <mc:Fallback>
        <control shapeId="7561" r:id="rId184" name="OptionButton113"/>
      </mc:Fallback>
    </mc:AlternateContent>
    <mc:AlternateContent xmlns:mc="http://schemas.openxmlformats.org/markup-compatibility/2006">
      <mc:Choice Requires="x14">
        <control shapeId="7562" r:id="rId186" name="OptionButton114">
          <controlPr defaultSize="0" autoLine="0" linkedCell="'C.Recicladores'!N117" r:id="rId187">
            <anchor moveWithCells="1">
              <from>
                <xdr:col>14</xdr:col>
                <xdr:colOff>438150</xdr:colOff>
                <xdr:row>211</xdr:row>
                <xdr:rowOff>66675</xdr:rowOff>
              </from>
              <to>
                <xdr:col>14</xdr:col>
                <xdr:colOff>628650</xdr:colOff>
                <xdr:row>211</xdr:row>
                <xdr:rowOff>228600</xdr:rowOff>
              </to>
            </anchor>
          </controlPr>
        </control>
      </mc:Choice>
      <mc:Fallback>
        <control shapeId="7562" r:id="rId186" name="OptionButton114"/>
      </mc:Fallback>
    </mc:AlternateContent>
    <mc:AlternateContent xmlns:mc="http://schemas.openxmlformats.org/markup-compatibility/2006">
      <mc:Choice Requires="x14">
        <control shapeId="7563" r:id="rId188" name="OptionButton115">
          <controlPr defaultSize="0" autoLine="0" linkedCell="'C.Recicladores'!O117" r:id="rId189">
            <anchor moveWithCells="1">
              <from>
                <xdr:col>15</xdr:col>
                <xdr:colOff>438150</xdr:colOff>
                <xdr:row>211</xdr:row>
                <xdr:rowOff>66675</xdr:rowOff>
              </from>
              <to>
                <xdr:col>15</xdr:col>
                <xdr:colOff>628650</xdr:colOff>
                <xdr:row>211</xdr:row>
                <xdr:rowOff>228600</xdr:rowOff>
              </to>
            </anchor>
          </controlPr>
        </control>
      </mc:Choice>
      <mc:Fallback>
        <control shapeId="7563" r:id="rId188" name="OptionButton115"/>
      </mc:Fallback>
    </mc:AlternateContent>
    <mc:AlternateContent xmlns:mc="http://schemas.openxmlformats.org/markup-compatibility/2006">
      <mc:Choice Requires="x14">
        <control shapeId="7564" r:id="rId190" name="OptionButton116">
          <controlPr defaultSize="0" autoLine="0" linkedCell="'C.Recicladores'!M118" r:id="rId191">
            <anchor moveWithCells="1">
              <from>
                <xdr:col>13</xdr:col>
                <xdr:colOff>438150</xdr:colOff>
                <xdr:row>212</xdr:row>
                <xdr:rowOff>66675</xdr:rowOff>
              </from>
              <to>
                <xdr:col>13</xdr:col>
                <xdr:colOff>628650</xdr:colOff>
                <xdr:row>212</xdr:row>
                <xdr:rowOff>228600</xdr:rowOff>
              </to>
            </anchor>
          </controlPr>
        </control>
      </mc:Choice>
      <mc:Fallback>
        <control shapeId="7564" r:id="rId190" name="OptionButton116"/>
      </mc:Fallback>
    </mc:AlternateContent>
    <mc:AlternateContent xmlns:mc="http://schemas.openxmlformats.org/markup-compatibility/2006">
      <mc:Choice Requires="x14">
        <control shapeId="7565" r:id="rId192" name="OptionButton117">
          <controlPr defaultSize="0" autoLine="0" linkedCell="'C.Recicladores'!N118" r:id="rId193">
            <anchor moveWithCells="1">
              <from>
                <xdr:col>14</xdr:col>
                <xdr:colOff>438150</xdr:colOff>
                <xdr:row>212</xdr:row>
                <xdr:rowOff>66675</xdr:rowOff>
              </from>
              <to>
                <xdr:col>14</xdr:col>
                <xdr:colOff>628650</xdr:colOff>
                <xdr:row>212</xdr:row>
                <xdr:rowOff>228600</xdr:rowOff>
              </to>
            </anchor>
          </controlPr>
        </control>
      </mc:Choice>
      <mc:Fallback>
        <control shapeId="7565" r:id="rId192" name="OptionButton117"/>
      </mc:Fallback>
    </mc:AlternateContent>
    <mc:AlternateContent xmlns:mc="http://schemas.openxmlformats.org/markup-compatibility/2006">
      <mc:Choice Requires="x14">
        <control shapeId="7567" r:id="rId194" name="OptionButton118">
          <controlPr defaultSize="0" autoLine="0" linkedCell="'C.Recicladores'!O118" r:id="rId195">
            <anchor moveWithCells="1">
              <from>
                <xdr:col>15</xdr:col>
                <xdr:colOff>438150</xdr:colOff>
                <xdr:row>212</xdr:row>
                <xdr:rowOff>66675</xdr:rowOff>
              </from>
              <to>
                <xdr:col>15</xdr:col>
                <xdr:colOff>628650</xdr:colOff>
                <xdr:row>212</xdr:row>
                <xdr:rowOff>228600</xdr:rowOff>
              </to>
            </anchor>
          </controlPr>
        </control>
      </mc:Choice>
      <mc:Fallback>
        <control shapeId="7567" r:id="rId194" name="OptionButton118"/>
      </mc:Fallback>
    </mc:AlternateContent>
    <mc:AlternateContent xmlns:mc="http://schemas.openxmlformats.org/markup-compatibility/2006">
      <mc:Choice Requires="x14">
        <control shapeId="7568" r:id="rId196" name="OptionButton119">
          <controlPr defaultSize="0" autoLine="0" linkedCell="'C.Recicladores'!M119" r:id="rId197">
            <anchor moveWithCells="1">
              <from>
                <xdr:col>13</xdr:col>
                <xdr:colOff>438150</xdr:colOff>
                <xdr:row>213</xdr:row>
                <xdr:rowOff>66675</xdr:rowOff>
              </from>
              <to>
                <xdr:col>13</xdr:col>
                <xdr:colOff>628650</xdr:colOff>
                <xdr:row>213</xdr:row>
                <xdr:rowOff>228600</xdr:rowOff>
              </to>
            </anchor>
          </controlPr>
        </control>
      </mc:Choice>
      <mc:Fallback>
        <control shapeId="7568" r:id="rId196" name="OptionButton119"/>
      </mc:Fallback>
    </mc:AlternateContent>
    <mc:AlternateContent xmlns:mc="http://schemas.openxmlformats.org/markup-compatibility/2006">
      <mc:Choice Requires="x14">
        <control shapeId="7569" r:id="rId198" name="OptionButton120">
          <controlPr defaultSize="0" autoLine="0" linkedCell="'C.Recicladores'!N119" r:id="rId199">
            <anchor moveWithCells="1">
              <from>
                <xdr:col>14</xdr:col>
                <xdr:colOff>438150</xdr:colOff>
                <xdr:row>213</xdr:row>
                <xdr:rowOff>66675</xdr:rowOff>
              </from>
              <to>
                <xdr:col>14</xdr:col>
                <xdr:colOff>628650</xdr:colOff>
                <xdr:row>213</xdr:row>
                <xdr:rowOff>228600</xdr:rowOff>
              </to>
            </anchor>
          </controlPr>
        </control>
      </mc:Choice>
      <mc:Fallback>
        <control shapeId="7569" r:id="rId198" name="OptionButton120"/>
      </mc:Fallback>
    </mc:AlternateContent>
    <mc:AlternateContent xmlns:mc="http://schemas.openxmlformats.org/markup-compatibility/2006">
      <mc:Choice Requires="x14">
        <control shapeId="7570" r:id="rId200" name="OptionButton121">
          <controlPr defaultSize="0" autoLine="0" linkedCell="'C.Recicladores'!O119" r:id="rId201">
            <anchor moveWithCells="1">
              <from>
                <xdr:col>15</xdr:col>
                <xdr:colOff>438150</xdr:colOff>
                <xdr:row>213</xdr:row>
                <xdr:rowOff>66675</xdr:rowOff>
              </from>
              <to>
                <xdr:col>15</xdr:col>
                <xdr:colOff>628650</xdr:colOff>
                <xdr:row>213</xdr:row>
                <xdr:rowOff>228600</xdr:rowOff>
              </to>
            </anchor>
          </controlPr>
        </control>
      </mc:Choice>
      <mc:Fallback>
        <control shapeId="7570" r:id="rId200" name="OptionButton121"/>
      </mc:Fallback>
    </mc:AlternateContent>
    <mc:AlternateContent xmlns:mc="http://schemas.openxmlformats.org/markup-compatibility/2006">
      <mc:Choice Requires="x14">
        <control shapeId="7571" r:id="rId202" name="OptionButton122">
          <controlPr defaultSize="0" autoLine="0" linkedCell="'C.Recicladores'!M120" r:id="rId203">
            <anchor moveWithCells="1">
              <from>
                <xdr:col>13</xdr:col>
                <xdr:colOff>438150</xdr:colOff>
                <xdr:row>214</xdr:row>
                <xdr:rowOff>66675</xdr:rowOff>
              </from>
              <to>
                <xdr:col>13</xdr:col>
                <xdr:colOff>628650</xdr:colOff>
                <xdr:row>214</xdr:row>
                <xdr:rowOff>228600</xdr:rowOff>
              </to>
            </anchor>
          </controlPr>
        </control>
      </mc:Choice>
      <mc:Fallback>
        <control shapeId="7571" r:id="rId202" name="OptionButton122"/>
      </mc:Fallback>
    </mc:AlternateContent>
    <mc:AlternateContent xmlns:mc="http://schemas.openxmlformats.org/markup-compatibility/2006">
      <mc:Choice Requires="x14">
        <control shapeId="7572" r:id="rId204" name="OptionButton123">
          <controlPr defaultSize="0" autoLine="0" linkedCell="'C.Recicladores'!N120" r:id="rId205">
            <anchor moveWithCells="1">
              <from>
                <xdr:col>14</xdr:col>
                <xdr:colOff>438150</xdr:colOff>
                <xdr:row>214</xdr:row>
                <xdr:rowOff>66675</xdr:rowOff>
              </from>
              <to>
                <xdr:col>14</xdr:col>
                <xdr:colOff>628650</xdr:colOff>
                <xdr:row>214</xdr:row>
                <xdr:rowOff>228600</xdr:rowOff>
              </to>
            </anchor>
          </controlPr>
        </control>
      </mc:Choice>
      <mc:Fallback>
        <control shapeId="7572" r:id="rId204" name="OptionButton123"/>
      </mc:Fallback>
    </mc:AlternateContent>
    <mc:AlternateContent xmlns:mc="http://schemas.openxmlformats.org/markup-compatibility/2006">
      <mc:Choice Requires="x14">
        <control shapeId="7573" r:id="rId206" name="OptionButton124">
          <controlPr defaultSize="0" autoLine="0" linkedCell="'C.Recicladores'!O120" r:id="rId207">
            <anchor moveWithCells="1">
              <from>
                <xdr:col>15</xdr:col>
                <xdr:colOff>438150</xdr:colOff>
                <xdr:row>214</xdr:row>
                <xdr:rowOff>66675</xdr:rowOff>
              </from>
              <to>
                <xdr:col>15</xdr:col>
                <xdr:colOff>628650</xdr:colOff>
                <xdr:row>214</xdr:row>
                <xdr:rowOff>228600</xdr:rowOff>
              </to>
            </anchor>
          </controlPr>
        </control>
      </mc:Choice>
      <mc:Fallback>
        <control shapeId="7573" r:id="rId206" name="OptionButton124"/>
      </mc:Fallback>
    </mc:AlternateContent>
    <mc:AlternateContent xmlns:mc="http://schemas.openxmlformats.org/markup-compatibility/2006">
      <mc:Choice Requires="x14">
        <control shapeId="7574" r:id="rId208" name="OptionButton125">
          <controlPr defaultSize="0" autoLine="0" linkedCell="'C.Recicladores'!M121" r:id="rId209">
            <anchor moveWithCells="1">
              <from>
                <xdr:col>13</xdr:col>
                <xdr:colOff>419100</xdr:colOff>
                <xdr:row>215</xdr:row>
                <xdr:rowOff>66675</xdr:rowOff>
              </from>
              <to>
                <xdr:col>13</xdr:col>
                <xdr:colOff>609600</xdr:colOff>
                <xdr:row>215</xdr:row>
                <xdr:rowOff>228600</xdr:rowOff>
              </to>
            </anchor>
          </controlPr>
        </control>
      </mc:Choice>
      <mc:Fallback>
        <control shapeId="7574" r:id="rId208" name="OptionButton125"/>
      </mc:Fallback>
    </mc:AlternateContent>
    <mc:AlternateContent xmlns:mc="http://schemas.openxmlformats.org/markup-compatibility/2006">
      <mc:Choice Requires="x14">
        <control shapeId="7581" r:id="rId210" name="OptionButton131">
          <controlPr defaultSize="0" autoLine="0" linkedCell="'C.Recicladores'!M122" r:id="rId211">
            <anchor moveWithCells="1">
              <from>
                <xdr:col>13</xdr:col>
                <xdr:colOff>428625</xdr:colOff>
                <xdr:row>216</xdr:row>
                <xdr:rowOff>66675</xdr:rowOff>
              </from>
              <to>
                <xdr:col>13</xdr:col>
                <xdr:colOff>619125</xdr:colOff>
                <xdr:row>216</xdr:row>
                <xdr:rowOff>228600</xdr:rowOff>
              </to>
            </anchor>
          </controlPr>
        </control>
      </mc:Choice>
      <mc:Fallback>
        <control shapeId="7581" r:id="rId210" name="OptionButton131"/>
      </mc:Fallback>
    </mc:AlternateContent>
    <mc:AlternateContent xmlns:mc="http://schemas.openxmlformats.org/markup-compatibility/2006">
      <mc:Choice Requires="x14">
        <control shapeId="7583" r:id="rId212" name="OptionButton132">
          <controlPr defaultSize="0" autoLine="0" linkedCell="'C.Recicladores'!N122" r:id="rId213">
            <anchor moveWithCells="1">
              <from>
                <xdr:col>14</xdr:col>
                <xdr:colOff>428625</xdr:colOff>
                <xdr:row>216</xdr:row>
                <xdr:rowOff>66675</xdr:rowOff>
              </from>
              <to>
                <xdr:col>14</xdr:col>
                <xdr:colOff>619125</xdr:colOff>
                <xdr:row>216</xdr:row>
                <xdr:rowOff>228600</xdr:rowOff>
              </to>
            </anchor>
          </controlPr>
        </control>
      </mc:Choice>
      <mc:Fallback>
        <control shapeId="7583" r:id="rId212" name="OptionButton132"/>
      </mc:Fallback>
    </mc:AlternateContent>
    <mc:AlternateContent xmlns:mc="http://schemas.openxmlformats.org/markup-compatibility/2006">
      <mc:Choice Requires="x14">
        <control shapeId="7584" r:id="rId214" name="OptionButton133">
          <controlPr defaultSize="0" autoLine="0" linkedCell="'C.Recicladores'!O122" r:id="rId215">
            <anchor moveWithCells="1">
              <from>
                <xdr:col>15</xdr:col>
                <xdr:colOff>428625</xdr:colOff>
                <xdr:row>216</xdr:row>
                <xdr:rowOff>66675</xdr:rowOff>
              </from>
              <to>
                <xdr:col>15</xdr:col>
                <xdr:colOff>619125</xdr:colOff>
                <xdr:row>216</xdr:row>
                <xdr:rowOff>228600</xdr:rowOff>
              </to>
            </anchor>
          </controlPr>
        </control>
      </mc:Choice>
      <mc:Fallback>
        <control shapeId="7584" r:id="rId214" name="OptionButton133"/>
      </mc:Fallback>
    </mc:AlternateContent>
    <mc:AlternateContent xmlns:mc="http://schemas.openxmlformats.org/markup-compatibility/2006">
      <mc:Choice Requires="x14">
        <control shapeId="7585" r:id="rId216" name="OptionButton134">
          <controlPr defaultSize="0" autoLine="0" linkedCell="'C.Recicladores'!M123" r:id="rId217">
            <anchor moveWithCells="1">
              <from>
                <xdr:col>13</xdr:col>
                <xdr:colOff>428625</xdr:colOff>
                <xdr:row>217</xdr:row>
                <xdr:rowOff>66675</xdr:rowOff>
              </from>
              <to>
                <xdr:col>13</xdr:col>
                <xdr:colOff>619125</xdr:colOff>
                <xdr:row>217</xdr:row>
                <xdr:rowOff>228600</xdr:rowOff>
              </to>
            </anchor>
          </controlPr>
        </control>
      </mc:Choice>
      <mc:Fallback>
        <control shapeId="7585" r:id="rId216" name="OptionButton134"/>
      </mc:Fallback>
    </mc:AlternateContent>
    <mc:AlternateContent xmlns:mc="http://schemas.openxmlformats.org/markup-compatibility/2006">
      <mc:Choice Requires="x14">
        <control shapeId="7586" r:id="rId218" name="OptionButton135">
          <controlPr defaultSize="0" autoLine="0" linkedCell="'C.Recicladores'!N123" r:id="rId219">
            <anchor moveWithCells="1">
              <from>
                <xdr:col>14</xdr:col>
                <xdr:colOff>428625</xdr:colOff>
                <xdr:row>217</xdr:row>
                <xdr:rowOff>66675</xdr:rowOff>
              </from>
              <to>
                <xdr:col>14</xdr:col>
                <xdr:colOff>619125</xdr:colOff>
                <xdr:row>217</xdr:row>
                <xdr:rowOff>228600</xdr:rowOff>
              </to>
            </anchor>
          </controlPr>
        </control>
      </mc:Choice>
      <mc:Fallback>
        <control shapeId="7586" r:id="rId218" name="OptionButton135"/>
      </mc:Fallback>
    </mc:AlternateContent>
    <mc:AlternateContent xmlns:mc="http://schemas.openxmlformats.org/markup-compatibility/2006">
      <mc:Choice Requires="x14">
        <control shapeId="7587" r:id="rId220" name="OptionButton136">
          <controlPr defaultSize="0" autoLine="0" linkedCell="'C.Recicladores'!O123" r:id="rId221">
            <anchor moveWithCells="1">
              <from>
                <xdr:col>15</xdr:col>
                <xdr:colOff>428625</xdr:colOff>
                <xdr:row>217</xdr:row>
                <xdr:rowOff>66675</xdr:rowOff>
              </from>
              <to>
                <xdr:col>15</xdr:col>
                <xdr:colOff>619125</xdr:colOff>
                <xdr:row>217</xdr:row>
                <xdr:rowOff>228600</xdr:rowOff>
              </to>
            </anchor>
          </controlPr>
        </control>
      </mc:Choice>
      <mc:Fallback>
        <control shapeId="7587" r:id="rId220" name="OptionButton136"/>
      </mc:Fallback>
    </mc:AlternateContent>
    <mc:AlternateContent xmlns:mc="http://schemas.openxmlformats.org/markup-compatibility/2006">
      <mc:Choice Requires="x14">
        <control shapeId="7588" r:id="rId222" name="OptionButton73">
          <controlPr defaultSize="0" autoLine="0" linkedCell="'C.Recicladores'!O103" r:id="rId223">
            <anchor moveWithCells="1">
              <from>
                <xdr:col>15</xdr:col>
                <xdr:colOff>457200</xdr:colOff>
                <xdr:row>196</xdr:row>
                <xdr:rowOff>47625</xdr:rowOff>
              </from>
              <to>
                <xdr:col>15</xdr:col>
                <xdr:colOff>647700</xdr:colOff>
                <xdr:row>196</xdr:row>
                <xdr:rowOff>209550</xdr:rowOff>
              </to>
            </anchor>
          </controlPr>
        </control>
      </mc:Choice>
      <mc:Fallback>
        <control shapeId="7588" r:id="rId222" name="OptionButton73"/>
      </mc:Fallback>
    </mc:AlternateContent>
    <mc:AlternateContent xmlns:mc="http://schemas.openxmlformats.org/markup-compatibility/2006">
      <mc:Choice Requires="x14">
        <control shapeId="7589" r:id="rId224" name="OptionButton72">
          <controlPr defaultSize="0" autoLine="0" linkedCell="'C.Recicladores'!N103" r:id="rId225">
            <anchor moveWithCells="1">
              <from>
                <xdr:col>14</xdr:col>
                <xdr:colOff>457200</xdr:colOff>
                <xdr:row>196</xdr:row>
                <xdr:rowOff>47625</xdr:rowOff>
              </from>
              <to>
                <xdr:col>14</xdr:col>
                <xdr:colOff>647700</xdr:colOff>
                <xdr:row>196</xdr:row>
                <xdr:rowOff>209550</xdr:rowOff>
              </to>
            </anchor>
          </controlPr>
        </control>
      </mc:Choice>
      <mc:Fallback>
        <control shapeId="7589" r:id="rId224" name="OptionButton72"/>
      </mc:Fallback>
    </mc:AlternateContent>
    <mc:AlternateContent xmlns:mc="http://schemas.openxmlformats.org/markup-compatibility/2006">
      <mc:Choice Requires="x14">
        <control shapeId="7590" r:id="rId226" name="OptionButton65">
          <controlPr defaultSize="0" autoLine="0" linkedCell="'C.Recicladores'!M124" r:id="rId227">
            <anchor moveWithCells="1">
              <from>
                <xdr:col>13</xdr:col>
                <xdr:colOff>428625</xdr:colOff>
                <xdr:row>218</xdr:row>
                <xdr:rowOff>66675</xdr:rowOff>
              </from>
              <to>
                <xdr:col>13</xdr:col>
                <xdr:colOff>619125</xdr:colOff>
                <xdr:row>218</xdr:row>
                <xdr:rowOff>228600</xdr:rowOff>
              </to>
            </anchor>
          </controlPr>
        </control>
      </mc:Choice>
      <mc:Fallback>
        <control shapeId="7590" r:id="rId226" name="OptionButton65"/>
      </mc:Fallback>
    </mc:AlternateContent>
    <mc:AlternateContent xmlns:mc="http://schemas.openxmlformats.org/markup-compatibility/2006">
      <mc:Choice Requires="x14">
        <control shapeId="7592" r:id="rId228" name="OptionButton66">
          <controlPr defaultSize="0" autoLine="0" linkedCell="'C.Recicladores'!N124" r:id="rId229">
            <anchor moveWithCells="1">
              <from>
                <xdr:col>14</xdr:col>
                <xdr:colOff>428625</xdr:colOff>
                <xdr:row>218</xdr:row>
                <xdr:rowOff>66675</xdr:rowOff>
              </from>
              <to>
                <xdr:col>14</xdr:col>
                <xdr:colOff>619125</xdr:colOff>
                <xdr:row>218</xdr:row>
                <xdr:rowOff>228600</xdr:rowOff>
              </to>
            </anchor>
          </controlPr>
        </control>
      </mc:Choice>
      <mc:Fallback>
        <control shapeId="7592" r:id="rId228" name="OptionButton66"/>
      </mc:Fallback>
    </mc:AlternateContent>
    <mc:AlternateContent xmlns:mc="http://schemas.openxmlformats.org/markup-compatibility/2006">
      <mc:Choice Requires="x14">
        <control shapeId="7593" r:id="rId230" name="OptionButton67">
          <controlPr defaultSize="0" autoLine="0" linkedCell="'C.Recicladores'!O124" r:id="rId231">
            <anchor moveWithCells="1">
              <from>
                <xdr:col>15</xdr:col>
                <xdr:colOff>428625</xdr:colOff>
                <xdr:row>218</xdr:row>
                <xdr:rowOff>66675</xdr:rowOff>
              </from>
              <to>
                <xdr:col>15</xdr:col>
                <xdr:colOff>619125</xdr:colOff>
                <xdr:row>218</xdr:row>
                <xdr:rowOff>228600</xdr:rowOff>
              </to>
            </anchor>
          </controlPr>
        </control>
      </mc:Choice>
      <mc:Fallback>
        <control shapeId="7593" r:id="rId230" name="OptionButton67"/>
      </mc:Fallback>
    </mc:AlternateContent>
    <mc:AlternateContent xmlns:mc="http://schemas.openxmlformats.org/markup-compatibility/2006">
      <mc:Choice Requires="x14">
        <control shapeId="7594" r:id="rId232" name="OptionButton74">
          <controlPr defaultSize="0" autoLine="0" linkedCell="'C.Recicladores'!M125" r:id="rId233">
            <anchor moveWithCells="1">
              <from>
                <xdr:col>13</xdr:col>
                <xdr:colOff>428625</xdr:colOff>
                <xdr:row>219</xdr:row>
                <xdr:rowOff>66675</xdr:rowOff>
              </from>
              <to>
                <xdr:col>13</xdr:col>
                <xdr:colOff>619125</xdr:colOff>
                <xdr:row>219</xdr:row>
                <xdr:rowOff>228600</xdr:rowOff>
              </to>
            </anchor>
          </controlPr>
        </control>
      </mc:Choice>
      <mc:Fallback>
        <control shapeId="7594" r:id="rId232" name="OptionButton74"/>
      </mc:Fallback>
    </mc:AlternateContent>
    <mc:AlternateContent xmlns:mc="http://schemas.openxmlformats.org/markup-compatibility/2006">
      <mc:Choice Requires="x14">
        <control shapeId="7595" r:id="rId234" name="OptionButton75">
          <controlPr defaultSize="0" autoLine="0" linkedCell="'C.Recicladores'!N125" r:id="rId235">
            <anchor moveWithCells="1">
              <from>
                <xdr:col>14</xdr:col>
                <xdr:colOff>428625</xdr:colOff>
                <xdr:row>219</xdr:row>
                <xdr:rowOff>66675</xdr:rowOff>
              </from>
              <to>
                <xdr:col>14</xdr:col>
                <xdr:colOff>619125</xdr:colOff>
                <xdr:row>219</xdr:row>
                <xdr:rowOff>228600</xdr:rowOff>
              </to>
            </anchor>
          </controlPr>
        </control>
      </mc:Choice>
      <mc:Fallback>
        <control shapeId="7595" r:id="rId234" name="OptionButton75"/>
      </mc:Fallback>
    </mc:AlternateContent>
    <mc:AlternateContent xmlns:mc="http://schemas.openxmlformats.org/markup-compatibility/2006">
      <mc:Choice Requires="x14">
        <control shapeId="7596" r:id="rId236" name="OptionButton76">
          <controlPr defaultSize="0" autoLine="0" linkedCell="'C.Recicladores'!O125" r:id="rId237">
            <anchor moveWithCells="1">
              <from>
                <xdr:col>15</xdr:col>
                <xdr:colOff>428625</xdr:colOff>
                <xdr:row>219</xdr:row>
                <xdr:rowOff>66675</xdr:rowOff>
              </from>
              <to>
                <xdr:col>15</xdr:col>
                <xdr:colOff>619125</xdr:colOff>
                <xdr:row>219</xdr:row>
                <xdr:rowOff>228600</xdr:rowOff>
              </to>
            </anchor>
          </controlPr>
        </control>
      </mc:Choice>
      <mc:Fallback>
        <control shapeId="7596" r:id="rId236" name="OptionButton76"/>
      </mc:Fallback>
    </mc:AlternateContent>
    <mc:AlternateContent xmlns:mc="http://schemas.openxmlformats.org/markup-compatibility/2006">
      <mc:Choice Requires="x14">
        <control shapeId="7597" r:id="rId238" name="OptionButton128">
          <controlPr defaultSize="0" autoLine="0" linkedCell="'C.Recicladores'!M126" r:id="rId239">
            <anchor moveWithCells="1">
              <from>
                <xdr:col>13</xdr:col>
                <xdr:colOff>438150</xdr:colOff>
                <xdr:row>220</xdr:row>
                <xdr:rowOff>57150</xdr:rowOff>
              </from>
              <to>
                <xdr:col>13</xdr:col>
                <xdr:colOff>628650</xdr:colOff>
                <xdr:row>220</xdr:row>
                <xdr:rowOff>219075</xdr:rowOff>
              </to>
            </anchor>
          </controlPr>
        </control>
      </mc:Choice>
      <mc:Fallback>
        <control shapeId="7597" r:id="rId238" name="OptionButton128"/>
      </mc:Fallback>
    </mc:AlternateContent>
    <mc:AlternateContent xmlns:mc="http://schemas.openxmlformats.org/markup-compatibility/2006">
      <mc:Choice Requires="x14">
        <control shapeId="7598" r:id="rId240" name="OptionButton129">
          <controlPr defaultSize="0" autoLine="0" linkedCell="'C.Recicladores'!N126" r:id="rId241">
            <anchor moveWithCells="1">
              <from>
                <xdr:col>14</xdr:col>
                <xdr:colOff>438150</xdr:colOff>
                <xdr:row>220</xdr:row>
                <xdr:rowOff>57150</xdr:rowOff>
              </from>
              <to>
                <xdr:col>14</xdr:col>
                <xdr:colOff>628650</xdr:colOff>
                <xdr:row>220</xdr:row>
                <xdr:rowOff>219075</xdr:rowOff>
              </to>
            </anchor>
          </controlPr>
        </control>
      </mc:Choice>
      <mc:Fallback>
        <control shapeId="7598" r:id="rId240" name="OptionButton129"/>
      </mc:Fallback>
    </mc:AlternateContent>
    <mc:AlternateContent xmlns:mc="http://schemas.openxmlformats.org/markup-compatibility/2006">
      <mc:Choice Requires="x14">
        <control shapeId="7599" r:id="rId242" name="OptionButton130">
          <controlPr defaultSize="0" autoLine="0" linkedCell="'C.Recicladores'!O126" r:id="rId243">
            <anchor moveWithCells="1">
              <from>
                <xdr:col>15</xdr:col>
                <xdr:colOff>438150</xdr:colOff>
                <xdr:row>220</xdr:row>
                <xdr:rowOff>57150</xdr:rowOff>
              </from>
              <to>
                <xdr:col>15</xdr:col>
                <xdr:colOff>628650</xdr:colOff>
                <xdr:row>220</xdr:row>
                <xdr:rowOff>219075</xdr:rowOff>
              </to>
            </anchor>
          </controlPr>
        </control>
      </mc:Choice>
      <mc:Fallback>
        <control shapeId="7599" r:id="rId242" name="OptionButton130"/>
      </mc:Fallback>
    </mc:AlternateContent>
    <mc:AlternateContent xmlns:mc="http://schemas.openxmlformats.org/markup-compatibility/2006">
      <mc:Choice Requires="x14">
        <control shapeId="7604" r:id="rId244" name="OptionButton126">
          <controlPr defaultSize="0" autoLine="0" linkedCell="'C.Recicladores'!N121" r:id="rId245">
            <anchor moveWithCells="1">
              <from>
                <xdr:col>14</xdr:col>
                <xdr:colOff>419100</xdr:colOff>
                <xdr:row>215</xdr:row>
                <xdr:rowOff>66675</xdr:rowOff>
              </from>
              <to>
                <xdr:col>14</xdr:col>
                <xdr:colOff>609600</xdr:colOff>
                <xdr:row>215</xdr:row>
                <xdr:rowOff>228600</xdr:rowOff>
              </to>
            </anchor>
          </controlPr>
        </control>
      </mc:Choice>
      <mc:Fallback>
        <control shapeId="7604" r:id="rId244" name="OptionButton126"/>
      </mc:Fallback>
    </mc:AlternateContent>
    <mc:AlternateContent xmlns:mc="http://schemas.openxmlformats.org/markup-compatibility/2006">
      <mc:Choice Requires="x14">
        <control shapeId="7605" r:id="rId246" name="OptionButton127">
          <controlPr defaultSize="0" autoLine="0" linkedCell="'C.Recicladores'!O121" r:id="rId247">
            <anchor moveWithCells="1">
              <from>
                <xdr:col>15</xdr:col>
                <xdr:colOff>419100</xdr:colOff>
                <xdr:row>215</xdr:row>
                <xdr:rowOff>66675</xdr:rowOff>
              </from>
              <to>
                <xdr:col>15</xdr:col>
                <xdr:colOff>609600</xdr:colOff>
                <xdr:row>215</xdr:row>
                <xdr:rowOff>228600</xdr:rowOff>
              </to>
            </anchor>
          </controlPr>
        </control>
      </mc:Choice>
      <mc:Fallback>
        <control shapeId="7605" r:id="rId246" name="OptionButton127"/>
      </mc:Fallback>
    </mc:AlternateContent>
    <mc:AlternateContent xmlns:mc="http://schemas.openxmlformats.org/markup-compatibility/2006">
      <mc:Choice Requires="x14">
        <control shapeId="7606" r:id="rId248" name="OptionButton137">
          <controlPr defaultSize="0" autoLine="0" linkedCell="'C.Recicladores'!M162" r:id="rId249">
            <anchor moveWithCells="1">
              <from>
                <xdr:col>12</xdr:col>
                <xdr:colOff>514350</xdr:colOff>
                <xdr:row>228</xdr:row>
                <xdr:rowOff>104775</xdr:rowOff>
              </from>
              <to>
                <xdr:col>12</xdr:col>
                <xdr:colOff>704850</xdr:colOff>
                <xdr:row>228</xdr:row>
                <xdr:rowOff>266700</xdr:rowOff>
              </to>
            </anchor>
          </controlPr>
        </control>
      </mc:Choice>
      <mc:Fallback>
        <control shapeId="7606" r:id="rId248" name="OptionButton137"/>
      </mc:Fallback>
    </mc:AlternateContent>
    <mc:AlternateContent xmlns:mc="http://schemas.openxmlformats.org/markup-compatibility/2006">
      <mc:Choice Requires="x14">
        <control shapeId="7607" r:id="rId250" name="OptionButton138">
          <controlPr defaultSize="0" autoLine="0" linkedCell="'C.Recicladores'!N162" r:id="rId251">
            <anchor moveWithCells="1">
              <from>
                <xdr:col>13</xdr:col>
                <xdr:colOff>514350</xdr:colOff>
                <xdr:row>228</xdr:row>
                <xdr:rowOff>104775</xdr:rowOff>
              </from>
              <to>
                <xdr:col>13</xdr:col>
                <xdr:colOff>704850</xdr:colOff>
                <xdr:row>228</xdr:row>
                <xdr:rowOff>266700</xdr:rowOff>
              </to>
            </anchor>
          </controlPr>
        </control>
      </mc:Choice>
      <mc:Fallback>
        <control shapeId="7607" r:id="rId250" name="OptionButton138"/>
      </mc:Fallback>
    </mc:AlternateContent>
    <mc:AlternateContent xmlns:mc="http://schemas.openxmlformats.org/markup-compatibility/2006">
      <mc:Choice Requires="x14">
        <control shapeId="7608" r:id="rId252" name="OptionButton139">
          <controlPr defaultSize="0" autoLine="0" linkedCell="'C.Recicladores'!O162" r:id="rId253">
            <anchor moveWithCells="1">
              <from>
                <xdr:col>14</xdr:col>
                <xdr:colOff>514350</xdr:colOff>
                <xdr:row>228</xdr:row>
                <xdr:rowOff>104775</xdr:rowOff>
              </from>
              <to>
                <xdr:col>14</xdr:col>
                <xdr:colOff>704850</xdr:colOff>
                <xdr:row>228</xdr:row>
                <xdr:rowOff>266700</xdr:rowOff>
              </to>
            </anchor>
          </controlPr>
        </control>
      </mc:Choice>
      <mc:Fallback>
        <control shapeId="7608" r:id="rId252" name="OptionButton139"/>
      </mc:Fallback>
    </mc:AlternateContent>
    <mc:AlternateContent xmlns:mc="http://schemas.openxmlformats.org/markup-compatibility/2006">
      <mc:Choice Requires="x14">
        <control shapeId="7609" r:id="rId254" name="OptionButton140">
          <controlPr defaultSize="0" autoLine="0" linkedCell="'C.Recicladores'!M163" r:id="rId255">
            <anchor moveWithCells="1">
              <from>
                <xdr:col>12</xdr:col>
                <xdr:colOff>514350</xdr:colOff>
                <xdr:row>229</xdr:row>
                <xdr:rowOff>104775</xdr:rowOff>
              </from>
              <to>
                <xdr:col>12</xdr:col>
                <xdr:colOff>704850</xdr:colOff>
                <xdr:row>229</xdr:row>
                <xdr:rowOff>266700</xdr:rowOff>
              </to>
            </anchor>
          </controlPr>
        </control>
      </mc:Choice>
      <mc:Fallback>
        <control shapeId="7609" r:id="rId254" name="OptionButton140"/>
      </mc:Fallback>
    </mc:AlternateContent>
    <mc:AlternateContent xmlns:mc="http://schemas.openxmlformats.org/markup-compatibility/2006">
      <mc:Choice Requires="x14">
        <control shapeId="7610" r:id="rId256" name="OptionButton141">
          <controlPr defaultSize="0" autoLine="0" linkedCell="'C.Recicladores'!N163" r:id="rId257">
            <anchor moveWithCells="1">
              <from>
                <xdr:col>13</xdr:col>
                <xdr:colOff>514350</xdr:colOff>
                <xdr:row>229</xdr:row>
                <xdr:rowOff>104775</xdr:rowOff>
              </from>
              <to>
                <xdr:col>13</xdr:col>
                <xdr:colOff>704850</xdr:colOff>
                <xdr:row>229</xdr:row>
                <xdr:rowOff>266700</xdr:rowOff>
              </to>
            </anchor>
          </controlPr>
        </control>
      </mc:Choice>
      <mc:Fallback>
        <control shapeId="7610" r:id="rId256" name="OptionButton141"/>
      </mc:Fallback>
    </mc:AlternateContent>
    <mc:AlternateContent xmlns:mc="http://schemas.openxmlformats.org/markup-compatibility/2006">
      <mc:Choice Requires="x14">
        <control shapeId="7611" r:id="rId258" name="OptionButton142">
          <controlPr defaultSize="0" autoLine="0" linkedCell="'C.Recicladores'!O163" r:id="rId259">
            <anchor moveWithCells="1">
              <from>
                <xdr:col>14</xdr:col>
                <xdr:colOff>514350</xdr:colOff>
                <xdr:row>229</xdr:row>
                <xdr:rowOff>104775</xdr:rowOff>
              </from>
              <to>
                <xdr:col>14</xdr:col>
                <xdr:colOff>704850</xdr:colOff>
                <xdr:row>229</xdr:row>
                <xdr:rowOff>266700</xdr:rowOff>
              </to>
            </anchor>
          </controlPr>
        </control>
      </mc:Choice>
      <mc:Fallback>
        <control shapeId="7611" r:id="rId258" name="OptionButton142"/>
      </mc:Fallback>
    </mc:AlternateContent>
    <mc:AlternateContent xmlns:mc="http://schemas.openxmlformats.org/markup-compatibility/2006">
      <mc:Choice Requires="x14">
        <control shapeId="7612" r:id="rId260" name="OptionButton143">
          <controlPr defaultSize="0" autoLine="0" linkedCell="'C.Recicladores'!M164" r:id="rId261">
            <anchor moveWithCells="1">
              <from>
                <xdr:col>12</xdr:col>
                <xdr:colOff>514350</xdr:colOff>
                <xdr:row>230</xdr:row>
                <xdr:rowOff>104775</xdr:rowOff>
              </from>
              <to>
                <xdr:col>12</xdr:col>
                <xdr:colOff>704850</xdr:colOff>
                <xdr:row>230</xdr:row>
                <xdr:rowOff>266700</xdr:rowOff>
              </to>
            </anchor>
          </controlPr>
        </control>
      </mc:Choice>
      <mc:Fallback>
        <control shapeId="7612" r:id="rId260" name="OptionButton143"/>
      </mc:Fallback>
    </mc:AlternateContent>
    <mc:AlternateContent xmlns:mc="http://schemas.openxmlformats.org/markup-compatibility/2006">
      <mc:Choice Requires="x14">
        <control shapeId="7613" r:id="rId262" name="OptionButton144">
          <controlPr defaultSize="0" autoLine="0" linkedCell="'C.Recicladores'!N164" r:id="rId263">
            <anchor moveWithCells="1">
              <from>
                <xdr:col>13</xdr:col>
                <xdr:colOff>514350</xdr:colOff>
                <xdr:row>230</xdr:row>
                <xdr:rowOff>104775</xdr:rowOff>
              </from>
              <to>
                <xdr:col>13</xdr:col>
                <xdr:colOff>704850</xdr:colOff>
                <xdr:row>230</xdr:row>
                <xdr:rowOff>266700</xdr:rowOff>
              </to>
            </anchor>
          </controlPr>
        </control>
      </mc:Choice>
      <mc:Fallback>
        <control shapeId="7613" r:id="rId262" name="OptionButton144"/>
      </mc:Fallback>
    </mc:AlternateContent>
    <mc:AlternateContent xmlns:mc="http://schemas.openxmlformats.org/markup-compatibility/2006">
      <mc:Choice Requires="x14">
        <control shapeId="7614" r:id="rId264" name="OptionButton145">
          <controlPr defaultSize="0" autoLine="0" linkedCell="'C.Recicladores'!O164" r:id="rId265">
            <anchor moveWithCells="1">
              <from>
                <xdr:col>14</xdr:col>
                <xdr:colOff>514350</xdr:colOff>
                <xdr:row>230</xdr:row>
                <xdr:rowOff>104775</xdr:rowOff>
              </from>
              <to>
                <xdr:col>14</xdr:col>
                <xdr:colOff>704850</xdr:colOff>
                <xdr:row>230</xdr:row>
                <xdr:rowOff>266700</xdr:rowOff>
              </to>
            </anchor>
          </controlPr>
        </control>
      </mc:Choice>
      <mc:Fallback>
        <control shapeId="7614" r:id="rId264" name="OptionButton145"/>
      </mc:Fallback>
    </mc:AlternateContent>
    <mc:AlternateContent xmlns:mc="http://schemas.openxmlformats.org/markup-compatibility/2006">
      <mc:Choice Requires="x14">
        <control shapeId="7615" r:id="rId266" name="OptionButton146">
          <controlPr defaultSize="0" autoLine="0" linkedCell="'C.Recicladores'!M153" r:id="rId267">
            <anchor moveWithCells="1">
              <from>
                <xdr:col>13</xdr:col>
                <xdr:colOff>514350</xdr:colOff>
                <xdr:row>240</xdr:row>
                <xdr:rowOff>104775</xdr:rowOff>
              </from>
              <to>
                <xdr:col>13</xdr:col>
                <xdr:colOff>704850</xdr:colOff>
                <xdr:row>240</xdr:row>
                <xdr:rowOff>266700</xdr:rowOff>
              </to>
            </anchor>
          </controlPr>
        </control>
      </mc:Choice>
      <mc:Fallback>
        <control shapeId="7615" r:id="rId266" name="OptionButton146"/>
      </mc:Fallback>
    </mc:AlternateContent>
    <mc:AlternateContent xmlns:mc="http://schemas.openxmlformats.org/markup-compatibility/2006">
      <mc:Choice Requires="x14">
        <control shapeId="7616" r:id="rId268" name="OptionButton147">
          <controlPr defaultSize="0" autoLine="0" linkedCell="'C.Recicladores'!N153" r:id="rId269">
            <anchor moveWithCells="1">
              <from>
                <xdr:col>14</xdr:col>
                <xdr:colOff>514350</xdr:colOff>
                <xdr:row>240</xdr:row>
                <xdr:rowOff>104775</xdr:rowOff>
              </from>
              <to>
                <xdr:col>14</xdr:col>
                <xdr:colOff>704850</xdr:colOff>
                <xdr:row>240</xdr:row>
                <xdr:rowOff>266700</xdr:rowOff>
              </to>
            </anchor>
          </controlPr>
        </control>
      </mc:Choice>
      <mc:Fallback>
        <control shapeId="7616" r:id="rId268" name="OptionButton147"/>
      </mc:Fallback>
    </mc:AlternateContent>
    <mc:AlternateContent xmlns:mc="http://schemas.openxmlformats.org/markup-compatibility/2006">
      <mc:Choice Requires="x14">
        <control shapeId="7617" r:id="rId270" name="OptionButton148">
          <controlPr defaultSize="0" autoLine="0" linkedCell="'C.Recicladores'!O153" r:id="rId271">
            <anchor moveWithCells="1">
              <from>
                <xdr:col>15</xdr:col>
                <xdr:colOff>514350</xdr:colOff>
                <xdr:row>240</xdr:row>
                <xdr:rowOff>104775</xdr:rowOff>
              </from>
              <to>
                <xdr:col>15</xdr:col>
                <xdr:colOff>704850</xdr:colOff>
                <xdr:row>240</xdr:row>
                <xdr:rowOff>266700</xdr:rowOff>
              </to>
            </anchor>
          </controlPr>
        </control>
      </mc:Choice>
      <mc:Fallback>
        <control shapeId="7617" r:id="rId270" name="OptionButton148"/>
      </mc:Fallback>
    </mc:AlternateContent>
    <mc:AlternateContent xmlns:mc="http://schemas.openxmlformats.org/markup-compatibility/2006">
      <mc:Choice Requires="x14">
        <control shapeId="7618" r:id="rId272" name="OptionButton149">
          <controlPr defaultSize="0" autoLine="0" linkedCell="'C.Recicladores'!M154" r:id="rId273">
            <anchor moveWithCells="1">
              <from>
                <xdr:col>13</xdr:col>
                <xdr:colOff>514350</xdr:colOff>
                <xdr:row>241</xdr:row>
                <xdr:rowOff>104775</xdr:rowOff>
              </from>
              <to>
                <xdr:col>13</xdr:col>
                <xdr:colOff>704850</xdr:colOff>
                <xdr:row>241</xdr:row>
                <xdr:rowOff>266700</xdr:rowOff>
              </to>
            </anchor>
          </controlPr>
        </control>
      </mc:Choice>
      <mc:Fallback>
        <control shapeId="7618" r:id="rId272" name="OptionButton149"/>
      </mc:Fallback>
    </mc:AlternateContent>
    <mc:AlternateContent xmlns:mc="http://schemas.openxmlformats.org/markup-compatibility/2006">
      <mc:Choice Requires="x14">
        <control shapeId="7619" r:id="rId274" name="OptionButton150">
          <controlPr defaultSize="0" autoLine="0" linkedCell="'C.Recicladores'!N154" r:id="rId275">
            <anchor moveWithCells="1">
              <from>
                <xdr:col>14</xdr:col>
                <xdr:colOff>514350</xdr:colOff>
                <xdr:row>241</xdr:row>
                <xdr:rowOff>104775</xdr:rowOff>
              </from>
              <to>
                <xdr:col>14</xdr:col>
                <xdr:colOff>704850</xdr:colOff>
                <xdr:row>241</xdr:row>
                <xdr:rowOff>266700</xdr:rowOff>
              </to>
            </anchor>
          </controlPr>
        </control>
      </mc:Choice>
      <mc:Fallback>
        <control shapeId="7619" r:id="rId274" name="OptionButton150"/>
      </mc:Fallback>
    </mc:AlternateContent>
    <mc:AlternateContent xmlns:mc="http://schemas.openxmlformats.org/markup-compatibility/2006">
      <mc:Choice Requires="x14">
        <control shapeId="7620" r:id="rId276" name="OptionButton151">
          <controlPr defaultSize="0" autoLine="0" linkedCell="'C.Recicladores'!O154" r:id="rId277">
            <anchor moveWithCells="1">
              <from>
                <xdr:col>15</xdr:col>
                <xdr:colOff>514350</xdr:colOff>
                <xdr:row>241</xdr:row>
                <xdr:rowOff>104775</xdr:rowOff>
              </from>
              <to>
                <xdr:col>15</xdr:col>
                <xdr:colOff>704850</xdr:colOff>
                <xdr:row>241</xdr:row>
                <xdr:rowOff>266700</xdr:rowOff>
              </to>
            </anchor>
          </controlPr>
        </control>
      </mc:Choice>
      <mc:Fallback>
        <control shapeId="7620" r:id="rId276" name="OptionButton151"/>
      </mc:Fallback>
    </mc:AlternateContent>
    <mc:AlternateContent xmlns:mc="http://schemas.openxmlformats.org/markup-compatibility/2006">
      <mc:Choice Requires="x14">
        <control shapeId="7621" r:id="rId278" name="OptionButton152">
          <controlPr defaultSize="0" autoLine="0" linkedCell="'C.Recicladores'!C37" r:id="rId279">
            <anchor moveWithCells="1">
              <from>
                <xdr:col>13</xdr:col>
                <xdr:colOff>514350</xdr:colOff>
                <xdr:row>253</xdr:row>
                <xdr:rowOff>104775</xdr:rowOff>
              </from>
              <to>
                <xdr:col>13</xdr:col>
                <xdr:colOff>704850</xdr:colOff>
                <xdr:row>253</xdr:row>
                <xdr:rowOff>266700</xdr:rowOff>
              </to>
            </anchor>
          </controlPr>
        </control>
      </mc:Choice>
      <mc:Fallback>
        <control shapeId="7621" r:id="rId278" name="OptionButton152"/>
      </mc:Fallback>
    </mc:AlternateContent>
    <mc:AlternateContent xmlns:mc="http://schemas.openxmlformats.org/markup-compatibility/2006">
      <mc:Choice Requires="x14">
        <control shapeId="7622" r:id="rId280" name="OptionButton153">
          <controlPr defaultSize="0" autoLine="0" linkedCell="'C.Recicladores'!C38" r:id="rId281">
            <anchor moveWithCells="1">
              <from>
                <xdr:col>14</xdr:col>
                <xdr:colOff>514350</xdr:colOff>
                <xdr:row>253</xdr:row>
                <xdr:rowOff>104775</xdr:rowOff>
              </from>
              <to>
                <xdr:col>14</xdr:col>
                <xdr:colOff>704850</xdr:colOff>
                <xdr:row>253</xdr:row>
                <xdr:rowOff>266700</xdr:rowOff>
              </to>
            </anchor>
          </controlPr>
        </control>
      </mc:Choice>
      <mc:Fallback>
        <control shapeId="7622" r:id="rId280" name="OptionButton153"/>
      </mc:Fallback>
    </mc:AlternateContent>
    <mc:AlternateContent xmlns:mc="http://schemas.openxmlformats.org/markup-compatibility/2006">
      <mc:Choice Requires="x14">
        <control shapeId="7623" r:id="rId282" name="OptionButton154">
          <controlPr defaultSize="0" autoLine="0" linkedCell="'C.Recicladores'!C39" r:id="rId283">
            <anchor moveWithCells="1">
              <from>
                <xdr:col>15</xdr:col>
                <xdr:colOff>514350</xdr:colOff>
                <xdr:row>253</xdr:row>
                <xdr:rowOff>104775</xdr:rowOff>
              </from>
              <to>
                <xdr:col>15</xdr:col>
                <xdr:colOff>704850</xdr:colOff>
                <xdr:row>253</xdr:row>
                <xdr:rowOff>266700</xdr:rowOff>
              </to>
            </anchor>
          </controlPr>
        </control>
      </mc:Choice>
      <mc:Fallback>
        <control shapeId="7623" r:id="rId282" name="OptionButton154"/>
      </mc:Fallback>
    </mc:AlternateContent>
    <mc:AlternateContent xmlns:mc="http://schemas.openxmlformats.org/markup-compatibility/2006">
      <mc:Choice Requires="x14">
        <control shapeId="7630" r:id="rId284" name="OptionButton155">
          <controlPr defaultSize="0" autoLine="0" linkedCell="'C.Recicladores'!M127" r:id="rId285">
            <anchor moveWithCells="1">
              <from>
                <xdr:col>13</xdr:col>
                <xdr:colOff>438150</xdr:colOff>
                <xdr:row>210</xdr:row>
                <xdr:rowOff>66675</xdr:rowOff>
              </from>
              <to>
                <xdr:col>13</xdr:col>
                <xdr:colOff>628650</xdr:colOff>
                <xdr:row>210</xdr:row>
                <xdr:rowOff>228600</xdr:rowOff>
              </to>
            </anchor>
          </controlPr>
        </control>
      </mc:Choice>
      <mc:Fallback>
        <control shapeId="7630" r:id="rId284" name="OptionButton155"/>
      </mc:Fallback>
    </mc:AlternateContent>
    <mc:AlternateContent xmlns:mc="http://schemas.openxmlformats.org/markup-compatibility/2006">
      <mc:Choice Requires="x14">
        <control shapeId="7631" r:id="rId286" name="OptionButton156">
          <controlPr defaultSize="0" autoLine="0" linkedCell="'C.Recicladores'!N127" r:id="rId287">
            <anchor moveWithCells="1">
              <from>
                <xdr:col>14</xdr:col>
                <xdr:colOff>438150</xdr:colOff>
                <xdr:row>210</xdr:row>
                <xdr:rowOff>66675</xdr:rowOff>
              </from>
              <to>
                <xdr:col>14</xdr:col>
                <xdr:colOff>628650</xdr:colOff>
                <xdr:row>210</xdr:row>
                <xdr:rowOff>228600</xdr:rowOff>
              </to>
            </anchor>
          </controlPr>
        </control>
      </mc:Choice>
      <mc:Fallback>
        <control shapeId="7631" r:id="rId286" name="OptionButton156"/>
      </mc:Fallback>
    </mc:AlternateContent>
    <mc:AlternateContent xmlns:mc="http://schemas.openxmlformats.org/markup-compatibility/2006">
      <mc:Choice Requires="x14">
        <control shapeId="7632" r:id="rId288" name="OptionButton157">
          <controlPr defaultSize="0" autoLine="0" linkedCell="'C.Recicladores'!O127" r:id="rId289">
            <anchor moveWithCells="1">
              <from>
                <xdr:col>15</xdr:col>
                <xdr:colOff>438150</xdr:colOff>
                <xdr:row>210</xdr:row>
                <xdr:rowOff>66675</xdr:rowOff>
              </from>
              <to>
                <xdr:col>15</xdr:col>
                <xdr:colOff>628650</xdr:colOff>
                <xdr:row>210</xdr:row>
                <xdr:rowOff>228600</xdr:rowOff>
              </to>
            </anchor>
          </controlPr>
        </control>
      </mc:Choice>
      <mc:Fallback>
        <control shapeId="7632" r:id="rId288" name="OptionButton157"/>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180" id="{52ED2C9F-8FFC-4F27-90AC-D7D1AEBA4A1F}">
            <xm:f>'C.Recicladores'!$C$11=4</xm:f>
            <x14:dxf>
              <font>
                <color theme="0"/>
              </font>
              <border>
                <left/>
                <right/>
                <top/>
                <bottom style="thin">
                  <color auto="1"/>
                </bottom>
                <vertical/>
                <horizontal/>
              </border>
            </x14:dxf>
          </x14:cfRule>
          <xm:sqref>L22:Q22</xm:sqref>
        </x14:conditionalFormatting>
        <x14:conditionalFormatting xmlns:xm="http://schemas.microsoft.com/office/excel/2006/main">
          <x14:cfRule type="expression" priority="39" id="{514A9C06-E612-4319-B96A-79BFBE3D0A23}">
            <xm:f>'C.Recicladores'!$C$210=TRUE</xm:f>
            <x14:dxf>
              <font>
                <color theme="0"/>
              </font>
              <fill>
                <patternFill>
                  <bgColor theme="0"/>
                </patternFill>
              </fill>
              <border>
                <left/>
                <right/>
                <top/>
                <bottom/>
                <vertical/>
                <horizontal/>
              </border>
            </x14:dxf>
          </x14:cfRule>
          <xm:sqref>L294 N294</xm:sqref>
        </x14:conditionalFormatting>
        <x14:conditionalFormatting xmlns:xm="http://schemas.microsoft.com/office/excel/2006/main">
          <x14:cfRule type="expression" priority="38" id="{BE26E0A3-4340-4DE7-BCF6-D8CD549DFC0C}">
            <xm:f>'C.Recicladores'!$C$209=TRUE</xm:f>
            <x14:dxf>
              <font>
                <color theme="0"/>
              </font>
              <fill>
                <patternFill>
                  <bgColor theme="0"/>
                </patternFill>
              </fill>
              <border>
                <left/>
                <right/>
                <top/>
                <bottom/>
                <vertical/>
                <horizontal/>
              </border>
            </x14:dxf>
          </x14:cfRule>
          <xm:sqref>L296 N296</xm:sqref>
        </x14:conditionalFormatting>
        <x14:conditionalFormatting xmlns:xm="http://schemas.microsoft.com/office/excel/2006/main">
          <x14:cfRule type="expression" priority="37" id="{E8429377-1F93-4048-9823-516788D15BA5}">
            <xm:f>'C.Recicladores'!$C$11=4</xm:f>
            <x14:dxf>
              <font>
                <color theme="0"/>
              </font>
              <fill>
                <patternFill patternType="none">
                  <bgColor auto="1"/>
                </patternFill>
              </fill>
              <border>
                <left/>
                <right/>
                <top style="thin">
                  <color auto="1"/>
                </top>
                <bottom style="thin">
                  <color auto="1"/>
                </bottom>
                <vertical/>
                <horizontal/>
              </border>
            </x14:dxf>
          </x14:cfRule>
          <xm:sqref>G29:I29</xm:sqref>
        </x14:conditionalFormatting>
        <x14:conditionalFormatting xmlns:xm="http://schemas.microsoft.com/office/excel/2006/main">
          <x14:cfRule type="expression" priority="33" id="{087F146C-ECAA-40DB-A457-AE04C46753C0}">
            <xm:f>'C.Recicladores'!$C$11&lt;4</xm:f>
            <x14:dxf>
              <font>
                <color theme="0"/>
              </font>
              <fill>
                <patternFill>
                  <bgColor theme="0"/>
                </patternFill>
              </fill>
              <border>
                <left/>
                <right/>
                <top/>
                <bottom/>
                <vertical/>
                <horizontal/>
              </border>
            </x14:dxf>
          </x14:cfRule>
          <xm:sqref>L23:Q25 P111 N26 Q26 L26:L27 N27:Q27 L28:Q36 M79:P82 L37:L42 M83 Q37:Q42 O83:P83 M78 L43:Q43</xm:sqref>
        </x14:conditionalFormatting>
        <x14:conditionalFormatting xmlns:xm="http://schemas.microsoft.com/office/excel/2006/main">
          <x14:cfRule type="expression" priority="29" id="{376356CC-525A-4681-97A2-5D2CEDF3897F}">
            <xm:f>'C.Recicladores'!$C$11&lt;4</xm:f>
            <x14:dxf>
              <font>
                <color theme="0"/>
              </font>
              <fill>
                <patternFill>
                  <bgColor theme="0"/>
                </patternFill>
              </fill>
              <border>
                <left/>
                <right/>
                <top/>
                <bottom/>
                <vertical/>
                <horizontal/>
              </border>
            </x14:dxf>
          </x14:cfRule>
          <xm:sqref>Q112</xm:sqref>
        </x14:conditionalFormatting>
        <x14:conditionalFormatting xmlns:xm="http://schemas.microsoft.com/office/excel/2006/main">
          <x14:cfRule type="expression" priority="28" id="{77D653FD-E2F2-41AE-AE11-DB156BDD120D}">
            <xm:f>'C.Recicladores'!$C$11&lt;4</xm:f>
            <x14:dxf>
              <font>
                <color theme="0"/>
              </font>
              <fill>
                <patternFill>
                  <bgColor theme="0"/>
                </patternFill>
              </fill>
              <border>
                <left/>
                <right/>
                <top/>
                <bottom/>
                <vertical/>
                <horizontal/>
              </border>
            </x14:dxf>
          </x14:cfRule>
          <xm:sqref>O26:P26</xm:sqref>
        </x14:conditionalFormatting>
        <x14:conditionalFormatting xmlns:xm="http://schemas.microsoft.com/office/excel/2006/main">
          <x14:cfRule type="expression" priority="21" id="{FF33A857-91ED-49EE-AD33-AAB36121F523}">
            <xm:f>'C.Recicladores'!$C$99=FALSE</xm:f>
            <x14:dxf>
              <font>
                <color theme="0"/>
              </font>
              <fill>
                <patternFill patternType="none">
                  <bgColor auto="1"/>
                </patternFill>
              </fill>
              <border>
                <left/>
                <right/>
                <top/>
                <bottom/>
                <vertical/>
                <horizontal/>
              </border>
            </x14:dxf>
          </x14:cfRule>
          <xm:sqref>I148:I152</xm:sqref>
        </x14:conditionalFormatting>
        <x14:conditionalFormatting xmlns:xm="http://schemas.microsoft.com/office/excel/2006/main">
          <x14:cfRule type="expression" priority="20" id="{027780CC-8588-4615-9E71-E5320DFF8109}">
            <xm:f>'C.Recicladores'!$C$11&lt;4</xm:f>
            <x14:dxf>
              <font>
                <color theme="0"/>
              </font>
              <fill>
                <patternFill patternType="none">
                  <bgColor auto="1"/>
                </patternFill>
              </fill>
              <border>
                <left/>
                <right/>
                <top/>
                <bottom/>
                <vertical/>
                <horizontal/>
              </border>
            </x14:dxf>
          </x14:cfRule>
          <xm:sqref>M26:M27</xm:sqref>
        </x14:conditionalFormatting>
        <x14:conditionalFormatting xmlns:xm="http://schemas.microsoft.com/office/excel/2006/main">
          <x14:cfRule type="expression" priority="18" id="{4363735C-592B-4BD7-B16B-C76D0D8D1859}">
            <xm:f>'C.Recicladores'!$C$11=4</xm:f>
            <x14:dxf>
              <font>
                <color theme="0"/>
              </font>
              <fill>
                <patternFill patternType="none">
                  <bgColor auto="1"/>
                </patternFill>
              </fill>
              <border>
                <left/>
                <right/>
                <top style="thin">
                  <color auto="1"/>
                </top>
                <bottom style="thin">
                  <color auto="1"/>
                </bottom>
                <vertical/>
                <horizontal/>
              </border>
            </x14:dxf>
          </x14:cfRule>
          <xm:sqref>G39</xm:sqref>
        </x14:conditionalFormatting>
        <x14:conditionalFormatting xmlns:xm="http://schemas.microsoft.com/office/excel/2006/main">
          <x14:cfRule type="expression" priority="10" id="{14A08805-E71D-48F3-A42B-D948A7234C02}">
            <xm:f>'C.Recicladores'!$C$105=TRUE</xm:f>
            <x14:dxf>
              <font>
                <color theme="0"/>
              </font>
              <fill>
                <patternFill patternType="none">
                  <bgColor auto="1"/>
                </patternFill>
              </fill>
              <border>
                <left/>
                <right/>
                <top style="thin">
                  <color auto="1"/>
                </top>
                <bottom style="thin">
                  <color auto="1"/>
                </bottom>
                <vertical/>
                <horizontal/>
              </border>
            </x14:dxf>
          </x14:cfRule>
          <xm:sqref>O154:P154</xm:sqref>
        </x14:conditionalFormatting>
        <x14:conditionalFormatting xmlns:xm="http://schemas.microsoft.com/office/excel/2006/main">
          <x14:cfRule type="expression" priority="9" id="{E4A00A94-ED61-4D69-B309-9C9C05E7BD48}">
            <xm:f>'C.Recicladores'!$C$104=TRUE</xm:f>
            <x14:dxf>
              <font>
                <color theme="0"/>
              </font>
              <fill>
                <patternFill patternType="none">
                  <bgColor auto="1"/>
                </patternFill>
              </fill>
              <border>
                <left style="thin">
                  <color auto="1"/>
                </left>
                <right style="thin">
                  <color auto="1"/>
                </right>
                <top/>
                <bottom/>
                <vertical/>
                <horizontal/>
              </border>
            </x14:dxf>
          </x14:cfRule>
          <xm:sqref>O153:O155</xm:sqref>
        </x14:conditionalFormatting>
        <x14:conditionalFormatting xmlns:xm="http://schemas.microsoft.com/office/excel/2006/main">
          <x14:cfRule type="expression" priority="8" id="{A21A8729-F8A4-4510-8A77-EC56A1CA69E5}">
            <xm:f>'C.Recicladores'!$C$11=4</xm:f>
            <x14:dxf>
              <font>
                <color theme="0"/>
              </font>
              <fill>
                <patternFill patternType="none">
                  <bgColor auto="1"/>
                </patternFill>
              </fill>
              <border>
                <left/>
                <right/>
                <top style="thin">
                  <color auto="1"/>
                </top>
                <bottom/>
                <vertical/>
                <horizontal/>
              </border>
            </x14:dxf>
          </x14:cfRule>
          <xm:sqref>H39:I39</xm:sqref>
        </x14:conditionalFormatting>
        <x14:conditionalFormatting xmlns:xm="http://schemas.microsoft.com/office/excel/2006/main">
          <x14:cfRule type="expression" priority="3" id="{B700CE8C-9BDF-48C7-A0B0-E6FA97E19F50}">
            <xm:f>'C.Recicladores'!$C$100=FALSE</xm:f>
            <x14:dxf>
              <font>
                <color theme="0"/>
              </font>
              <fill>
                <patternFill patternType="none">
                  <bgColor auto="1"/>
                </patternFill>
              </fill>
              <border>
                <left/>
                <right/>
                <top/>
                <bottom/>
                <vertical/>
                <horizontal/>
              </border>
            </x14:dxf>
          </x14:cfRule>
          <xm:sqref>G148:G151</xm:sqref>
        </x14:conditionalFormatting>
        <x14:conditionalFormatting xmlns:xm="http://schemas.microsoft.com/office/excel/2006/main">
          <x14:cfRule type="expression" priority="2" id="{20E09BB4-6EED-4737-B11A-BEC5DCB83D4B}">
            <xm:f>'\Users\MAG CONSULTORIA SAS\Dropbox\2.PROYECTOS DE CONSULTORIA\2015 BID Modelo Reciclaje FASE 2\Documentos en Desarrollo\Productos en desarrollo\Nota técnica\Modelaciones finales\[Modelo costos Quito.xlsm]C.Recicladores'!#REF!=TRUE</xm:f>
            <x14:dxf>
              <font>
                <color theme="0"/>
              </font>
              <fill>
                <patternFill patternType="none">
                  <bgColor auto="1"/>
                </patternFill>
              </fill>
              <border>
                <left/>
                <right style="thin">
                  <color auto="1"/>
                </right>
                <top/>
                <bottom/>
                <vertical/>
                <horizontal/>
              </border>
            </x14:dxf>
          </x14:cfRule>
          <xm:sqref>N153 N155</xm:sqref>
        </x14:conditionalFormatting>
        <x14:conditionalFormatting xmlns:xm="http://schemas.microsoft.com/office/excel/2006/main">
          <x14:cfRule type="expression" priority="1" id="{45AA59A6-45A7-4634-8A97-775311A161BC}">
            <xm:f>'\Users\MAG CONSULTORIA SAS\Dropbox\2.PROYECTOS DE CONSULTORIA\2015 BID Modelo Reciclaje FASE 2\Documentos en Desarrollo\Productos en desarrollo\Nota técnica\Modelaciones finales\[Modelo costos Quito.xlsm]C.Recicladores'!#REF!=TRUE</xm:f>
            <x14:dxf>
              <font>
                <color theme="0"/>
              </font>
              <fill>
                <patternFill patternType="none">
                  <bgColor auto="1"/>
                </patternFill>
              </fill>
              <border>
                <left/>
                <right/>
                <top/>
                <bottom/>
                <vertical/>
                <horizontal/>
              </border>
            </x14:dxf>
          </x14:cfRule>
          <xm:sqref>N154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0000000}">
          <x14:formula1>
            <xm:f>Referencias!$B$57:$B$61</xm:f>
          </x14:formula1>
          <xm:sqref>G19</xm:sqref>
        </x14:dataValidation>
        <x14:dataValidation type="list" allowBlank="1" showInputMessage="1" showErrorMessage="1" xr:uid="{00000000-0002-0000-0700-000001000000}">
          <x14:formula1>
            <xm:f>Referencias!$B$63:$B$65</xm:f>
          </x14:formula1>
          <xm:sqref>G35</xm:sqref>
        </x14:dataValidation>
        <x14:dataValidation type="list" allowBlank="1" showInputMessage="1" showErrorMessage="1" xr:uid="{00000000-0002-0000-0700-000002000000}">
          <x14:formula1>
            <xm:f>Referencias!$B$67:$B$69</xm:f>
          </x14:formula1>
          <xm:sqref>G37</xm:sqref>
        </x14:dataValidation>
        <x14:dataValidation type="list" allowBlank="1" showInputMessage="1" showErrorMessage="1" xr:uid="{00000000-0002-0000-0700-000003000000}">
          <x14:formula1>
            <xm:f>Referencias!$B$68:$B$69</xm:f>
          </x14:formula1>
          <xm:sqref>O34</xm:sqref>
        </x14:dataValidation>
        <x14:dataValidation type="list" allowBlank="1" showInputMessage="1" showErrorMessage="1" xr:uid="{00000000-0002-0000-0700-000004000000}">
          <x14:formula1>
            <xm:f>Referencias!$B$72:$B$74</xm:f>
          </x14:formula1>
          <xm:sqref>G26:I26 O26:P26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tabColor theme="6" tint="0.39997558519241921"/>
  </sheetPr>
  <dimension ref="A1:CB558"/>
  <sheetViews>
    <sheetView showGridLines="0" topLeftCell="A40" zoomScaleNormal="100" workbookViewId="0">
      <selection activeCell="H112" sqref="H112:I113"/>
    </sheetView>
  </sheetViews>
  <sheetFormatPr baseColWidth="10" defaultColWidth="11.42578125" defaultRowHeight="15" x14ac:dyDescent="0.25"/>
  <cols>
    <col min="1" max="1" width="1.7109375" style="438" customWidth="1"/>
    <col min="2" max="2" width="4.140625" style="595" customWidth="1"/>
    <col min="3" max="3" width="3.85546875" style="446" customWidth="1"/>
    <col min="4" max="4" width="3.28515625" style="446" customWidth="1"/>
    <col min="5" max="5" width="24.28515625" style="446" customWidth="1"/>
    <col min="6" max="6" width="15.85546875" style="446" customWidth="1"/>
    <col min="7" max="7" width="16.42578125" style="446" customWidth="1"/>
    <col min="8" max="8" width="4.140625" style="446" customWidth="1"/>
    <col min="9" max="9" width="12.28515625" style="446" customWidth="1"/>
    <col min="10" max="10" width="5.5703125" style="446" customWidth="1"/>
    <col min="11" max="11" width="11.140625" style="446" customWidth="1"/>
    <col min="12" max="12" width="3" style="446" customWidth="1"/>
    <col min="13" max="13" width="18.5703125" style="446" customWidth="1"/>
    <col min="14" max="14" width="20" style="446" customWidth="1"/>
    <col min="15" max="16" width="16.7109375" style="446" customWidth="1"/>
    <col min="17" max="17" width="2.5703125" style="446" customWidth="1"/>
    <col min="18" max="18" width="4.7109375" style="446" customWidth="1"/>
    <col min="19" max="19" width="2.85546875" style="446" customWidth="1"/>
    <col min="20" max="80" width="11.42578125" style="438"/>
    <col min="81" max="16384" width="11.42578125" style="446"/>
  </cols>
  <sheetData>
    <row r="1" spans="2:19" s="438" customFormat="1" x14ac:dyDescent="0.25"/>
    <row r="2" spans="2:19" s="438" customFormat="1" x14ac:dyDescent="0.25"/>
    <row r="3" spans="2:19" s="438" customFormat="1" ht="23.25" x14ac:dyDescent="0.25">
      <c r="C3" s="1183" t="s">
        <v>432</v>
      </c>
      <c r="D3" s="1183"/>
      <c r="E3" s="1183"/>
      <c r="F3" s="1183"/>
      <c r="G3" s="1183"/>
      <c r="H3" s="1183"/>
      <c r="I3" s="1183"/>
      <c r="J3" s="1183"/>
      <c r="K3" s="1183"/>
      <c r="L3" s="1183"/>
      <c r="M3" s="1183"/>
      <c r="N3" s="1183"/>
      <c r="O3" s="1183"/>
      <c r="P3" s="1183"/>
      <c r="Q3" s="1183"/>
      <c r="R3" s="1183"/>
      <c r="S3" s="439"/>
    </row>
    <row r="4" spans="2:19" s="438" customFormat="1" ht="23.25" x14ac:dyDescent="0.25">
      <c r="C4" s="1184" t="s">
        <v>80</v>
      </c>
      <c r="D4" s="1184"/>
      <c r="E4" s="1184"/>
      <c r="F4" s="1184"/>
      <c r="G4" s="1184"/>
      <c r="H4" s="1184"/>
      <c r="I4" s="1184"/>
      <c r="J4" s="1184"/>
      <c r="K4" s="1184"/>
      <c r="L4" s="1184"/>
      <c r="M4" s="1184"/>
      <c r="N4" s="1184"/>
      <c r="O4" s="1184"/>
      <c r="P4" s="1184"/>
      <c r="Q4" s="1184"/>
      <c r="R4" s="1184"/>
      <c r="S4" s="440"/>
    </row>
    <row r="5" spans="2:19" s="438" customFormat="1" ht="15.75" x14ac:dyDescent="0.25">
      <c r="C5" s="1184" t="s">
        <v>218</v>
      </c>
      <c r="D5" s="1184"/>
      <c r="E5" s="1184"/>
      <c r="F5" s="1184"/>
      <c r="G5" s="1184"/>
      <c r="H5" s="1184"/>
      <c r="I5" s="1184"/>
      <c r="J5" s="1184"/>
      <c r="K5" s="1184"/>
      <c r="L5" s="1184"/>
      <c r="M5" s="1184"/>
      <c r="N5" s="1184"/>
      <c r="O5" s="1184"/>
      <c r="P5" s="1184"/>
      <c r="Q5" s="1184"/>
      <c r="R5" s="441"/>
    </row>
    <row r="6" spans="2:19" s="438" customFormat="1" ht="19.5" thickBot="1" x14ac:dyDescent="0.3">
      <c r="C6" s="442"/>
      <c r="D6" s="442"/>
      <c r="E6" s="442"/>
      <c r="F6" s="442"/>
      <c r="G6" s="442"/>
      <c r="H6" s="442"/>
      <c r="I6" s="442"/>
      <c r="J6" s="442"/>
      <c r="K6" s="442"/>
      <c r="L6" s="442"/>
      <c r="M6" s="442"/>
      <c r="N6" s="442"/>
      <c r="O6" s="442"/>
      <c r="P6" s="442"/>
      <c r="Q6" s="442"/>
    </row>
    <row r="7" spans="2:19" x14ac:dyDescent="0.25">
      <c r="B7" s="443"/>
      <c r="C7" s="444"/>
      <c r="D7" s="444"/>
      <c r="E7" s="444"/>
      <c r="F7" s="444"/>
      <c r="G7" s="444"/>
      <c r="H7" s="444"/>
      <c r="I7" s="444"/>
      <c r="J7" s="444"/>
      <c r="K7" s="444"/>
      <c r="L7" s="444"/>
      <c r="M7" s="444"/>
      <c r="N7" s="444"/>
      <c r="O7" s="444"/>
      <c r="P7" s="444"/>
      <c r="Q7" s="444"/>
      <c r="R7" s="444"/>
      <c r="S7" s="445"/>
    </row>
    <row r="8" spans="2:19" ht="23.25" x14ac:dyDescent="0.25">
      <c r="B8" s="447"/>
      <c r="C8" s="1185" t="s">
        <v>142</v>
      </c>
      <c r="D8" s="1186"/>
      <c r="E8" s="1186"/>
      <c r="F8" s="1186"/>
      <c r="G8" s="1186"/>
      <c r="H8" s="1186"/>
      <c r="I8" s="1186"/>
      <c r="J8" s="1186"/>
      <c r="K8" s="1186"/>
      <c r="L8" s="1186"/>
      <c r="M8" s="1186"/>
      <c r="N8" s="1186"/>
      <c r="O8" s="1186"/>
      <c r="P8" s="1186"/>
      <c r="Q8" s="1186"/>
      <c r="R8" s="1187"/>
      <c r="S8" s="448"/>
    </row>
    <row r="9" spans="2:19" ht="9" customHeight="1" thickBot="1" x14ac:dyDescent="0.3">
      <c r="B9" s="447"/>
      <c r="C9" s="449"/>
      <c r="D9" s="449"/>
      <c r="E9" s="450"/>
      <c r="F9" s="450"/>
      <c r="G9" s="450"/>
      <c r="H9" s="450"/>
      <c r="I9" s="450"/>
      <c r="J9" s="450"/>
      <c r="K9" s="450"/>
      <c r="L9" s="450"/>
      <c r="M9" s="450"/>
      <c r="N9" s="450"/>
      <c r="O9" s="449"/>
      <c r="P9" s="449"/>
      <c r="Q9" s="449"/>
      <c r="R9" s="449"/>
      <c r="S9" s="448"/>
    </row>
    <row r="10" spans="2:19" ht="42" customHeight="1" thickTop="1" thickBot="1" x14ac:dyDescent="0.3">
      <c r="B10" s="447"/>
      <c r="C10" s="449"/>
      <c r="D10" s="1189" t="s">
        <v>462</v>
      </c>
      <c r="E10" s="1189"/>
      <c r="F10" s="1189"/>
      <c r="G10" s="1189"/>
      <c r="H10" s="1189"/>
      <c r="I10" s="1189"/>
      <c r="J10" s="450"/>
      <c r="K10" s="450"/>
      <c r="L10" s="450"/>
      <c r="M10" s="450"/>
      <c r="N10" s="450"/>
      <c r="O10" s="449"/>
      <c r="P10" s="449"/>
      <c r="Q10" s="449"/>
      <c r="R10" s="449"/>
      <c r="S10" s="448"/>
    </row>
    <row r="11" spans="2:19" ht="12.75" customHeight="1" thickTop="1" x14ac:dyDescent="0.25">
      <c r="B11" s="447"/>
      <c r="C11" s="449"/>
      <c r="D11" s="449"/>
      <c r="E11" s="449"/>
      <c r="F11" s="449"/>
      <c r="G11" s="450"/>
      <c r="H11" s="450"/>
      <c r="I11" s="450"/>
      <c r="J11" s="450"/>
      <c r="K11" s="450"/>
      <c r="L11" s="450"/>
      <c r="M11" s="450"/>
      <c r="N11" s="450"/>
      <c r="O11" s="449"/>
      <c r="P11" s="449"/>
      <c r="Q11" s="449"/>
      <c r="R11" s="449"/>
      <c r="S11" s="448"/>
    </row>
    <row r="12" spans="2:19" ht="9" customHeight="1" x14ac:dyDescent="0.25">
      <c r="B12" s="447"/>
      <c r="C12" s="449"/>
      <c r="D12" s="449"/>
      <c r="E12" s="450"/>
      <c r="F12" s="450"/>
      <c r="G12" s="450"/>
      <c r="H12" s="450"/>
      <c r="I12" s="450"/>
      <c r="J12" s="450"/>
      <c r="K12" s="450"/>
      <c r="L12" s="450"/>
      <c r="M12" s="450"/>
      <c r="N12" s="450"/>
      <c r="O12" s="449"/>
      <c r="P12" s="449"/>
      <c r="Q12" s="449"/>
      <c r="R12" s="449"/>
      <c r="S12" s="448"/>
    </row>
    <row r="13" spans="2:19" x14ac:dyDescent="0.25">
      <c r="B13" s="447"/>
      <c r="C13" s="451"/>
      <c r="D13" s="452"/>
      <c r="E13" s="452"/>
      <c r="F13" s="452"/>
      <c r="G13" s="452"/>
      <c r="H13" s="452"/>
      <c r="I13" s="452"/>
      <c r="J13" s="452"/>
      <c r="K13" s="452"/>
      <c r="L13" s="452"/>
      <c r="M13" s="452"/>
      <c r="N13" s="452"/>
      <c r="O13" s="452"/>
      <c r="P13" s="452"/>
      <c r="Q13" s="452"/>
      <c r="R13" s="453"/>
      <c r="S13" s="448"/>
    </row>
    <row r="14" spans="2:19" ht="18.75" x14ac:dyDescent="0.25">
      <c r="B14" s="447"/>
      <c r="C14" s="454"/>
      <c r="D14" s="455"/>
      <c r="E14" s="1062" t="s">
        <v>213</v>
      </c>
      <c r="F14" s="1062"/>
      <c r="G14" s="1062"/>
      <c r="H14" s="1062"/>
      <c r="I14" s="1062"/>
      <c r="J14" s="1062"/>
      <c r="K14" s="1062"/>
      <c r="L14" s="1062"/>
      <c r="M14" s="1062"/>
      <c r="N14" s="1062"/>
      <c r="O14" s="1062"/>
      <c r="P14" s="1062"/>
      <c r="Q14" s="455"/>
      <c r="R14" s="456"/>
      <c r="S14" s="448"/>
    </row>
    <row r="15" spans="2:19" x14ac:dyDescent="0.25">
      <c r="B15" s="447"/>
      <c r="C15" s="454"/>
      <c r="D15" s="455"/>
      <c r="E15" s="455"/>
      <c r="F15" s="455"/>
      <c r="G15" s="455"/>
      <c r="H15" s="455"/>
      <c r="I15" s="455"/>
      <c r="J15" s="455"/>
      <c r="K15" s="455"/>
      <c r="L15" s="455"/>
      <c r="M15" s="455"/>
      <c r="N15" s="455"/>
      <c r="O15" s="455"/>
      <c r="P15" s="455"/>
      <c r="Q15" s="455"/>
      <c r="R15" s="456"/>
      <c r="S15" s="448"/>
    </row>
    <row r="16" spans="2:19" ht="7.5" customHeight="1" x14ac:dyDescent="0.25">
      <c r="B16" s="447"/>
      <c r="C16" s="454"/>
      <c r="D16" s="455"/>
      <c r="E16" s="455"/>
      <c r="F16" s="455"/>
      <c r="G16" s="455"/>
      <c r="H16" s="455"/>
      <c r="I16" s="455"/>
      <c r="J16" s="455"/>
      <c r="K16" s="455"/>
      <c r="L16" s="455"/>
      <c r="M16" s="455"/>
      <c r="N16" s="455"/>
      <c r="O16" s="455"/>
      <c r="P16" s="455"/>
      <c r="Q16" s="455"/>
      <c r="R16" s="456"/>
      <c r="S16" s="448"/>
    </row>
    <row r="17" spans="1:80" ht="7.5" customHeight="1" x14ac:dyDescent="0.25">
      <c r="B17" s="447"/>
      <c r="C17" s="454"/>
      <c r="D17" s="455"/>
      <c r="E17" s="1188"/>
      <c r="F17" s="1188"/>
      <c r="G17" s="1188"/>
      <c r="H17" s="1188"/>
      <c r="I17" s="1188"/>
      <c r="J17" s="1188"/>
      <c r="K17" s="1188"/>
      <c r="L17" s="1188"/>
      <c r="M17" s="455"/>
      <c r="N17" s="455"/>
      <c r="O17" s="455"/>
      <c r="P17" s="455"/>
      <c r="Q17" s="455"/>
      <c r="R17" s="456"/>
      <c r="S17" s="448"/>
    </row>
    <row r="18" spans="1:80" x14ac:dyDescent="0.25">
      <c r="B18" s="447"/>
      <c r="C18" s="454"/>
      <c r="D18" s="455"/>
      <c r="E18" s="455"/>
      <c r="F18" s="455"/>
      <c r="G18" s="455"/>
      <c r="H18" s="455"/>
      <c r="I18" s="455"/>
      <c r="J18" s="455"/>
      <c r="K18" s="455"/>
      <c r="L18" s="455"/>
      <c r="M18" s="455"/>
      <c r="N18" s="455"/>
      <c r="O18" s="455"/>
      <c r="P18" s="455"/>
      <c r="Q18" s="455"/>
      <c r="R18" s="456"/>
      <c r="S18" s="448"/>
    </row>
    <row r="19" spans="1:80" ht="18" customHeight="1" x14ac:dyDescent="0.25">
      <c r="B19" s="447"/>
      <c r="C19" s="454"/>
      <c r="D19" s="455"/>
      <c r="E19" s="457" t="s">
        <v>217</v>
      </c>
      <c r="F19" s="455"/>
      <c r="G19" s="1176" t="s">
        <v>434</v>
      </c>
      <c r="H19" s="1177"/>
      <c r="I19" s="1177"/>
      <c r="J19" s="1177"/>
      <c r="K19" s="1177"/>
      <c r="L19" s="1178"/>
      <c r="M19" s="455"/>
      <c r="N19" s="455"/>
      <c r="O19" s="455"/>
      <c r="P19" s="455"/>
      <c r="Q19" s="455"/>
      <c r="R19" s="456"/>
      <c r="S19" s="448"/>
    </row>
    <row r="20" spans="1:80" x14ac:dyDescent="0.25">
      <c r="B20" s="447"/>
      <c r="C20" s="454"/>
      <c r="D20" s="455"/>
      <c r="E20" s="455"/>
      <c r="F20" s="455"/>
      <c r="G20" s="455"/>
      <c r="H20" s="455"/>
      <c r="I20" s="455"/>
      <c r="J20" s="455"/>
      <c r="K20" s="455"/>
      <c r="L20" s="455"/>
      <c r="M20" s="455"/>
      <c r="N20" s="455"/>
      <c r="O20" s="455"/>
      <c r="P20" s="455"/>
      <c r="Q20" s="455"/>
      <c r="R20" s="456"/>
      <c r="S20" s="448"/>
    </row>
    <row r="21" spans="1:80" ht="20.25" customHeight="1" x14ac:dyDescent="0.25">
      <c r="B21" s="447"/>
      <c r="C21" s="454"/>
      <c r="D21" s="455"/>
      <c r="E21" s="455"/>
      <c r="F21" s="458"/>
      <c r="G21" s="455"/>
      <c r="H21" s="455"/>
      <c r="I21" s="455"/>
      <c r="J21" s="455"/>
      <c r="K21" s="455"/>
      <c r="L21" s="455"/>
      <c r="M21" s="455"/>
      <c r="N21" s="455"/>
      <c r="O21" s="455"/>
      <c r="P21" s="455"/>
      <c r="Q21" s="455"/>
      <c r="R21" s="456"/>
      <c r="S21" s="448"/>
    </row>
    <row r="22" spans="1:80" ht="5.25" customHeight="1" x14ac:dyDescent="0.25">
      <c r="B22" s="447"/>
      <c r="C22" s="454"/>
      <c r="D22" s="455"/>
      <c r="E22" s="455"/>
      <c r="F22" s="455"/>
      <c r="G22" s="455"/>
      <c r="H22" s="455"/>
      <c r="I22" s="455"/>
      <c r="J22" s="455"/>
      <c r="K22" s="455"/>
      <c r="L22" s="455"/>
      <c r="M22" s="455"/>
      <c r="N22" s="455"/>
      <c r="O22" s="455"/>
      <c r="P22" s="455"/>
      <c r="Q22" s="455"/>
      <c r="R22" s="456"/>
      <c r="S22" s="448"/>
    </row>
    <row r="23" spans="1:80" x14ac:dyDescent="0.25">
      <c r="B23" s="447"/>
      <c r="C23" s="454"/>
      <c r="D23" s="451"/>
      <c r="E23" s="452"/>
      <c r="F23" s="452"/>
      <c r="G23" s="452"/>
      <c r="H23" s="452"/>
      <c r="I23" s="452"/>
      <c r="J23" s="453"/>
      <c r="K23" s="455"/>
      <c r="L23" s="459"/>
      <c r="M23" s="460"/>
      <c r="N23" s="460"/>
      <c r="O23" s="460"/>
      <c r="P23" s="460"/>
      <c r="Q23" s="461"/>
      <c r="R23" s="456"/>
      <c r="S23" s="448"/>
    </row>
    <row r="24" spans="1:80" ht="16.5" customHeight="1" x14ac:dyDescent="0.25">
      <c r="B24" s="447"/>
      <c r="C24" s="454"/>
      <c r="D24" s="454"/>
      <c r="E24" s="455"/>
      <c r="F24" s="455"/>
      <c r="G24" s="1179" t="str">
        <f>+IF(G19="Combinación de equipo de tracción manual con camión","Vehículo motorizado mediano",G19)</f>
        <v>Vehículo motorizado mediano</v>
      </c>
      <c r="H24" s="1180"/>
      <c r="I24" s="1181"/>
      <c r="J24" s="456"/>
      <c r="K24" s="455"/>
      <c r="L24" s="462"/>
      <c r="M24" s="463"/>
      <c r="N24" s="463"/>
      <c r="O24" s="1179" t="str">
        <f>+IF(G19="Combinación de equipo de tracción manual con camión","Equipo de tracción manual","")</f>
        <v>Equipo de tracción manual</v>
      </c>
      <c r="P24" s="1181"/>
      <c r="Q24" s="464"/>
      <c r="R24" s="456"/>
      <c r="S24" s="448"/>
    </row>
    <row r="25" spans="1:80" ht="32.25" customHeight="1" x14ac:dyDescent="0.25">
      <c r="B25" s="447"/>
      <c r="C25" s="454"/>
      <c r="D25" s="454"/>
      <c r="E25" s="455"/>
      <c r="F25" s="455"/>
      <c r="G25" s="465" t="s">
        <v>103</v>
      </c>
      <c r="H25" s="1182" t="s">
        <v>104</v>
      </c>
      <c r="I25" s="1182"/>
      <c r="J25" s="466"/>
      <c r="K25" s="455"/>
      <c r="L25" s="462"/>
      <c r="M25" s="463"/>
      <c r="N25" s="463"/>
      <c r="O25" s="467" t="str">
        <f>+IF(G19="Combinación de equipo de tracción manual con camión","Digite el valor","")</f>
        <v>Digite el valor</v>
      </c>
      <c r="P25" s="467" t="str">
        <f>+IF(G19="Combinación de equipo de tracción manual con camión","Valor de Referencia","")</f>
        <v>Valor de Referencia</v>
      </c>
      <c r="Q25" s="464"/>
      <c r="R25" s="456"/>
      <c r="S25" s="448"/>
    </row>
    <row r="26" spans="1:80" ht="15" customHeight="1" x14ac:dyDescent="0.25">
      <c r="B26" s="447"/>
      <c r="C26" s="454"/>
      <c r="D26" s="454"/>
      <c r="E26" s="457" t="s">
        <v>463</v>
      </c>
      <c r="F26" s="455"/>
      <c r="G26" s="1154" t="s">
        <v>465</v>
      </c>
      <c r="H26" s="1154"/>
      <c r="I26" s="1154"/>
      <c r="J26" s="466"/>
      <c r="K26" s="455"/>
      <c r="L26" s="462"/>
      <c r="M26" s="457" t="s">
        <v>463</v>
      </c>
      <c r="N26" s="463"/>
      <c r="O26" s="1154" t="s">
        <v>465</v>
      </c>
      <c r="P26" s="1154"/>
      <c r="Q26" s="464"/>
      <c r="R26" s="456"/>
      <c r="S26" s="448"/>
    </row>
    <row r="27" spans="1:80" ht="18.75" customHeight="1" x14ac:dyDescent="0.25">
      <c r="B27" s="447"/>
      <c r="C27" s="454"/>
      <c r="D27" s="454"/>
      <c r="E27" s="468" t="str">
        <f>+CONCATENATE("Capacidad ",(IF(G26="Volumen (m3)"," M3",IF(G26="Peso (Toneladas)","TON",""))))</f>
        <v>Capacidad TON</v>
      </c>
      <c r="F27" s="455"/>
      <c r="G27" s="469"/>
      <c r="H27" s="1172">
        <f>+IFERROR(IF(G26="Peso (Toneladas)",HLOOKUP('Datos Prestador'!G19,ReferenciasP!C76:F93,2,0),HLOOKUP('Datos Prestador'!G19,ReferenciasP!C76:F93,3,0)),0)</f>
        <v>3.5</v>
      </c>
      <c r="I27" s="1173"/>
      <c r="J27" s="466"/>
      <c r="K27" s="455"/>
      <c r="L27" s="462"/>
      <c r="M27" s="468" t="str">
        <f>+CONCATENATE("Capacidad ",(IF(O26="Volumen (m3)"," M3",IF(O26="Peso (Toneladas)","TON",""))))</f>
        <v>Capacidad TON</v>
      </c>
      <c r="N27" s="463"/>
      <c r="O27" s="470"/>
      <c r="P27" s="471">
        <f>+IF(O26="Peso (Toneladas)",ReferenciasP!E77,ReferenciasP!E78)</f>
        <v>0.25</v>
      </c>
      <c r="Q27" s="472"/>
      <c r="R27" s="456"/>
      <c r="S27" s="448"/>
    </row>
    <row r="28" spans="1:80" s="482" customFormat="1" ht="18.75" customHeight="1" x14ac:dyDescent="0.25">
      <c r="A28" s="473"/>
      <c r="B28" s="474"/>
      <c r="C28" s="475"/>
      <c r="D28" s="475"/>
      <c r="E28" s="457" t="s">
        <v>88</v>
      </c>
      <c r="F28" s="476"/>
      <c r="G28" s="470"/>
      <c r="H28" s="1170">
        <f>+IFERROR(HLOOKUP('Datos Prestador'!G19,ReferenciasP!C76:F93,5,0),0)</f>
        <v>0.476190476190476</v>
      </c>
      <c r="I28" s="1171"/>
      <c r="J28" s="477"/>
      <c r="K28" s="476"/>
      <c r="L28" s="478"/>
      <c r="M28" s="457" t="s">
        <v>89</v>
      </c>
      <c r="N28" s="479"/>
      <c r="O28" s="470"/>
      <c r="P28" s="471">
        <f>+ReferenciasP!E81</f>
        <v>2</v>
      </c>
      <c r="Q28" s="480"/>
      <c r="R28" s="477"/>
      <c r="S28" s="481"/>
      <c r="T28" s="473"/>
      <c r="U28" s="473"/>
      <c r="V28" s="473"/>
      <c r="W28" s="473"/>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473"/>
      <c r="BB28" s="473"/>
      <c r="BC28" s="473"/>
      <c r="BD28" s="473"/>
      <c r="BE28" s="473"/>
      <c r="BF28" s="473"/>
      <c r="BG28" s="473"/>
      <c r="BH28" s="473"/>
      <c r="BI28" s="473"/>
      <c r="BJ28" s="473"/>
      <c r="BK28" s="473"/>
      <c r="BL28" s="473"/>
      <c r="BM28" s="473"/>
      <c r="BN28" s="473"/>
      <c r="BO28" s="473"/>
      <c r="BP28" s="473"/>
      <c r="BQ28" s="473"/>
      <c r="BR28" s="473"/>
      <c r="BS28" s="473"/>
      <c r="BT28" s="473"/>
      <c r="BU28" s="473"/>
      <c r="BV28" s="473"/>
      <c r="BW28" s="473"/>
      <c r="BX28" s="473"/>
      <c r="BY28" s="473"/>
      <c r="BZ28" s="473"/>
      <c r="CA28" s="473"/>
      <c r="CB28" s="473"/>
    </row>
    <row r="29" spans="1:80" s="482" customFormat="1" ht="18.75" customHeight="1" x14ac:dyDescent="0.25">
      <c r="A29" s="473"/>
      <c r="B29" s="474"/>
      <c r="C29" s="475"/>
      <c r="D29" s="475"/>
      <c r="E29" s="483" t="str">
        <f>+IF(G19="Combinación de equipo de tracción manual con camión","","Tiempo de recolección (horas)")</f>
        <v/>
      </c>
      <c r="F29" s="476"/>
      <c r="G29" s="484"/>
      <c r="H29" s="1174">
        <f>+IFERROR(HLOOKUP('Datos Prestador'!G19,ReferenciasP!C76:F93,6,0),0)</f>
        <v>0</v>
      </c>
      <c r="I29" s="1175"/>
      <c r="J29" s="477"/>
      <c r="K29" s="476"/>
      <c r="L29" s="478"/>
      <c r="M29" s="457" t="s">
        <v>90</v>
      </c>
      <c r="N29" s="479"/>
      <c r="O29" s="470"/>
      <c r="P29" s="471">
        <f>+ReferenciasP!E82</f>
        <v>0.16666666666666666</v>
      </c>
      <c r="Q29" s="480"/>
      <c r="R29" s="477"/>
      <c r="S29" s="481"/>
      <c r="T29" s="473"/>
      <c r="U29" s="473"/>
      <c r="V29" s="473"/>
      <c r="W29" s="473"/>
      <c r="X29" s="473"/>
      <c r="Y29" s="473"/>
      <c r="Z29" s="473"/>
      <c r="AA29" s="473"/>
      <c r="AB29" s="473"/>
      <c r="AC29" s="473"/>
      <c r="AD29" s="473"/>
      <c r="AE29" s="473"/>
      <c r="AF29" s="473"/>
      <c r="AG29" s="473"/>
      <c r="AH29" s="473"/>
      <c r="AI29" s="473"/>
      <c r="AJ29" s="473"/>
      <c r="AK29" s="473"/>
      <c r="AL29" s="473"/>
      <c r="AM29" s="473"/>
      <c r="AN29" s="473"/>
      <c r="AO29" s="473"/>
      <c r="AP29" s="473"/>
      <c r="AQ29" s="473"/>
      <c r="AR29" s="473"/>
      <c r="AS29" s="473"/>
      <c r="AT29" s="473"/>
      <c r="AU29" s="473"/>
      <c r="AV29" s="473"/>
      <c r="AW29" s="473"/>
      <c r="AX29" s="473"/>
      <c r="AY29" s="473"/>
      <c r="AZ29" s="473"/>
      <c r="BA29" s="473"/>
      <c r="BB29" s="473"/>
      <c r="BC29" s="473"/>
      <c r="BD29" s="473"/>
      <c r="BE29" s="473"/>
      <c r="BF29" s="473"/>
      <c r="BG29" s="473"/>
      <c r="BH29" s="473"/>
      <c r="BI29" s="473"/>
      <c r="BJ29" s="473"/>
      <c r="BK29" s="473"/>
      <c r="BL29" s="473"/>
      <c r="BM29" s="473"/>
      <c r="BN29" s="473"/>
      <c r="BO29" s="473"/>
      <c r="BP29" s="473"/>
      <c r="BQ29" s="473"/>
      <c r="BR29" s="473"/>
      <c r="BS29" s="473"/>
      <c r="BT29" s="473"/>
      <c r="BU29" s="473"/>
      <c r="BV29" s="473"/>
      <c r="BW29" s="473"/>
      <c r="BX29" s="473"/>
      <c r="BY29" s="473"/>
      <c r="BZ29" s="473"/>
      <c r="CA29" s="473"/>
      <c r="CB29" s="473"/>
    </row>
    <row r="30" spans="1:80" s="482" customFormat="1" ht="18.75" customHeight="1" x14ac:dyDescent="0.25">
      <c r="A30" s="473"/>
      <c r="B30" s="474"/>
      <c r="C30" s="475"/>
      <c r="D30" s="475"/>
      <c r="E30" s="457" t="s">
        <v>90</v>
      </c>
      <c r="F30" s="476"/>
      <c r="G30" s="470"/>
      <c r="H30" s="1170">
        <f>+IFERROR(HLOOKUP('Datos Prestador'!G19,ReferenciasP!C76:F93,7,0),0)</f>
        <v>0.33333333333333331</v>
      </c>
      <c r="I30" s="1171"/>
      <c r="J30" s="477"/>
      <c r="K30" s="476"/>
      <c r="L30" s="478"/>
      <c r="M30" s="457" t="s">
        <v>91</v>
      </c>
      <c r="N30" s="479"/>
      <c r="O30" s="470"/>
      <c r="P30" s="471">
        <f>+ReferenciasP!E83</f>
        <v>0.16666666666666666</v>
      </c>
      <c r="Q30" s="480"/>
      <c r="R30" s="477"/>
      <c r="S30" s="481"/>
      <c r="T30" s="473"/>
      <c r="U30" s="473"/>
      <c r="V30" s="473"/>
      <c r="W30" s="473"/>
      <c r="X30" s="473"/>
      <c r="Y30" s="473"/>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3"/>
      <c r="AV30" s="473"/>
      <c r="AW30" s="473"/>
      <c r="AX30" s="473"/>
      <c r="AY30" s="473"/>
      <c r="AZ30" s="473"/>
      <c r="BA30" s="473"/>
      <c r="BB30" s="473"/>
      <c r="BC30" s="473"/>
      <c r="BD30" s="473"/>
      <c r="BE30" s="473"/>
      <c r="BF30" s="473"/>
      <c r="BG30" s="473"/>
      <c r="BH30" s="473"/>
      <c r="BI30" s="473"/>
      <c r="BJ30" s="473"/>
      <c r="BK30" s="473"/>
      <c r="BL30" s="473"/>
      <c r="BM30" s="473"/>
      <c r="BN30" s="473"/>
      <c r="BO30" s="473"/>
      <c r="BP30" s="473"/>
      <c r="BQ30" s="473"/>
      <c r="BR30" s="473"/>
      <c r="BS30" s="473"/>
      <c r="BT30" s="473"/>
      <c r="BU30" s="473"/>
      <c r="BV30" s="473"/>
      <c r="BW30" s="473"/>
      <c r="BX30" s="473"/>
      <c r="BY30" s="473"/>
      <c r="BZ30" s="473"/>
      <c r="CA30" s="473"/>
      <c r="CB30" s="473"/>
    </row>
    <row r="31" spans="1:80" s="482" customFormat="1" ht="18.75" customHeight="1" x14ac:dyDescent="0.25">
      <c r="A31" s="473"/>
      <c r="B31" s="474"/>
      <c r="C31" s="475"/>
      <c r="D31" s="475"/>
      <c r="E31" s="457" t="s">
        <v>91</v>
      </c>
      <c r="F31" s="476"/>
      <c r="G31" s="470"/>
      <c r="H31" s="1170">
        <f>IFERROR(HLOOKUP('Datos Prestador'!G19,ReferenciasP!C76:F93,8,0),0)</f>
        <v>0.33333333333333331</v>
      </c>
      <c r="I31" s="1171"/>
      <c r="J31" s="477"/>
      <c r="K31" s="476"/>
      <c r="L31" s="462"/>
      <c r="M31" s="457" t="s">
        <v>92</v>
      </c>
      <c r="N31" s="479"/>
      <c r="O31" s="470"/>
      <c r="P31" s="485">
        <f>+ReferenciasP!E84</f>
        <v>1</v>
      </c>
      <c r="Q31" s="480"/>
      <c r="R31" s="477"/>
      <c r="S31" s="481"/>
      <c r="T31" s="473"/>
      <c r="U31" s="473"/>
      <c r="V31" s="473"/>
      <c r="W31" s="473"/>
      <c r="X31" s="473"/>
      <c r="Y31" s="473"/>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3"/>
      <c r="AW31" s="473"/>
      <c r="AX31" s="473"/>
      <c r="AY31" s="473"/>
      <c r="AZ31" s="473"/>
      <c r="BA31" s="473"/>
      <c r="BB31" s="473"/>
      <c r="BC31" s="473"/>
      <c r="BD31" s="473"/>
      <c r="BE31" s="473"/>
      <c r="BF31" s="473"/>
      <c r="BG31" s="473"/>
      <c r="BH31" s="473"/>
      <c r="BI31" s="473"/>
      <c r="BJ31" s="473"/>
      <c r="BK31" s="473"/>
      <c r="BL31" s="473"/>
      <c r="BM31" s="473"/>
      <c r="BN31" s="473"/>
      <c r="BO31" s="473"/>
      <c r="BP31" s="473"/>
      <c r="BQ31" s="473"/>
      <c r="BR31" s="473"/>
      <c r="BS31" s="473"/>
      <c r="BT31" s="473"/>
      <c r="BU31" s="473"/>
      <c r="BV31" s="473"/>
      <c r="BW31" s="473"/>
      <c r="BX31" s="473"/>
      <c r="BY31" s="473"/>
      <c r="BZ31" s="473"/>
      <c r="CA31" s="473"/>
      <c r="CB31" s="473"/>
    </row>
    <row r="32" spans="1:80" s="482" customFormat="1" ht="24" customHeight="1" x14ac:dyDescent="0.25">
      <c r="A32" s="473"/>
      <c r="B32" s="474"/>
      <c r="C32" s="475"/>
      <c r="D32" s="475"/>
      <c r="E32" s="486" t="s">
        <v>435</v>
      </c>
      <c r="F32" s="476"/>
      <c r="G32" s="470"/>
      <c r="H32" s="1159">
        <f>+IFERROR(HLOOKUP('Datos Prestador'!G19,ReferenciasP!C76:F93,9,0),0)</f>
        <v>1</v>
      </c>
      <c r="I32" s="1160"/>
      <c r="J32" s="477"/>
      <c r="K32" s="476"/>
      <c r="L32" s="478"/>
      <c r="M32" s="457" t="s">
        <v>94</v>
      </c>
      <c r="N32" s="479"/>
      <c r="O32" s="470"/>
      <c r="P32" s="487">
        <f>+ReferenciasP!E86</f>
        <v>0.1</v>
      </c>
      <c r="Q32" s="488"/>
      <c r="R32" s="477"/>
      <c r="S32" s="481"/>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3"/>
      <c r="BO32" s="473"/>
      <c r="BP32" s="473"/>
      <c r="BQ32" s="473"/>
      <c r="BR32" s="473"/>
      <c r="BS32" s="473"/>
      <c r="BT32" s="473"/>
      <c r="BU32" s="473"/>
      <c r="BV32" s="473"/>
      <c r="BW32" s="473"/>
      <c r="BX32" s="473"/>
      <c r="BY32" s="473"/>
      <c r="BZ32" s="473"/>
      <c r="CA32" s="473"/>
      <c r="CB32" s="473"/>
    </row>
    <row r="33" spans="1:80" s="482" customFormat="1" ht="18.75" customHeight="1" x14ac:dyDescent="0.25">
      <c r="A33" s="473"/>
      <c r="B33" s="474"/>
      <c r="C33" s="475"/>
      <c r="D33" s="475"/>
      <c r="E33" s="457" t="s">
        <v>94</v>
      </c>
      <c r="F33" s="476"/>
      <c r="G33" s="489"/>
      <c r="H33" s="1165">
        <f>+IFERROR(HLOOKUP('Datos Prestador'!G19,ReferenciasP!C76:F93,11,0),0)</f>
        <v>0.1</v>
      </c>
      <c r="I33" s="1166"/>
      <c r="J33" s="477"/>
      <c r="K33" s="476"/>
      <c r="L33" s="478"/>
      <c r="M33" s="457" t="s">
        <v>95</v>
      </c>
      <c r="N33" s="479"/>
      <c r="O33" s="470"/>
      <c r="P33" s="485">
        <f>+ReferenciasP!E87</f>
        <v>2</v>
      </c>
      <c r="Q33" s="488"/>
      <c r="R33" s="477"/>
      <c r="S33" s="481"/>
      <c r="T33" s="473"/>
      <c r="U33" s="473"/>
      <c r="V33" s="473"/>
      <c r="W33" s="473"/>
      <c r="X33" s="473"/>
      <c r="Y33" s="473"/>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3"/>
      <c r="AW33" s="473"/>
      <c r="AX33" s="473"/>
      <c r="AY33" s="473"/>
      <c r="AZ33" s="473"/>
      <c r="BA33" s="473"/>
      <c r="BB33" s="473"/>
      <c r="BC33" s="473"/>
      <c r="BD33" s="473"/>
      <c r="BE33" s="473"/>
      <c r="BF33" s="473"/>
      <c r="BG33" s="473"/>
      <c r="BH33" s="473"/>
      <c r="BI33" s="473"/>
      <c r="BJ33" s="473"/>
      <c r="BK33" s="473"/>
      <c r="BL33" s="473"/>
      <c r="BM33" s="473"/>
      <c r="BN33" s="473"/>
      <c r="BO33" s="473"/>
      <c r="BP33" s="473"/>
      <c r="BQ33" s="473"/>
      <c r="BR33" s="473"/>
      <c r="BS33" s="473"/>
      <c r="BT33" s="473"/>
      <c r="BU33" s="473"/>
      <c r="BV33" s="473"/>
      <c r="BW33" s="473"/>
      <c r="BX33" s="473"/>
      <c r="BY33" s="473"/>
      <c r="BZ33" s="473"/>
      <c r="CA33" s="473"/>
      <c r="CB33" s="473"/>
    </row>
    <row r="34" spans="1:80" s="482" customFormat="1" ht="18.75" customHeight="1" x14ac:dyDescent="0.25">
      <c r="A34" s="473"/>
      <c r="B34" s="474"/>
      <c r="C34" s="475"/>
      <c r="D34" s="475"/>
      <c r="E34" s="457" t="s">
        <v>95</v>
      </c>
      <c r="F34" s="476"/>
      <c r="G34" s="470"/>
      <c r="H34" s="1167">
        <f>+IFERROR(HLOOKUP('Datos Prestador'!G19,ReferenciasP!C76:F93,12,0),0)</f>
        <v>12</v>
      </c>
      <c r="I34" s="1168"/>
      <c r="J34" s="477"/>
      <c r="K34" s="476"/>
      <c r="L34" s="478"/>
      <c r="M34" s="457" t="s">
        <v>454</v>
      </c>
      <c r="N34" s="479"/>
      <c r="O34" s="1154" t="s">
        <v>112</v>
      </c>
      <c r="P34" s="1154"/>
      <c r="Q34" s="488"/>
      <c r="R34" s="477"/>
      <c r="S34" s="481"/>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c r="BO34" s="473"/>
      <c r="BP34" s="473"/>
      <c r="BQ34" s="473"/>
      <c r="BR34" s="473"/>
      <c r="BS34" s="473"/>
      <c r="BT34" s="473"/>
      <c r="BU34" s="473"/>
      <c r="BV34" s="473"/>
      <c r="BW34" s="473"/>
      <c r="BX34" s="473"/>
      <c r="BY34" s="473"/>
      <c r="BZ34" s="473"/>
      <c r="CA34" s="473"/>
      <c r="CB34" s="473"/>
    </row>
    <row r="35" spans="1:80" s="482" customFormat="1" ht="18.75" customHeight="1" x14ac:dyDescent="0.25">
      <c r="A35" s="473"/>
      <c r="B35" s="474"/>
      <c r="C35" s="475"/>
      <c r="D35" s="475"/>
      <c r="E35" s="457" t="s">
        <v>453</v>
      </c>
      <c r="F35" s="476"/>
      <c r="G35" s="1156" t="s">
        <v>106</v>
      </c>
      <c r="H35" s="1169"/>
      <c r="I35" s="1153"/>
      <c r="J35" s="477"/>
      <c r="K35" s="476"/>
      <c r="L35" s="478"/>
      <c r="M35" s="490" t="str">
        <f>+CONCATENATE(O34," ","de Recolección")</f>
        <v>Velocidad (km/hr) de Recolección</v>
      </c>
      <c r="N35" s="479"/>
      <c r="O35" s="470"/>
      <c r="P35" s="485">
        <f>+IF(O34="Velocidad (km/hr)",ReferenciasP!E90,ReferenciasP!E92)</f>
        <v>4</v>
      </c>
      <c r="Q35" s="488"/>
      <c r="R35" s="477"/>
      <c r="S35" s="481"/>
      <c r="T35" s="473"/>
      <c r="U35" s="473"/>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3"/>
      <c r="AY35" s="473"/>
      <c r="AZ35" s="473"/>
      <c r="BA35" s="473"/>
      <c r="BB35" s="473"/>
      <c r="BC35" s="473"/>
      <c r="BD35" s="473"/>
      <c r="BE35" s="473"/>
      <c r="BF35" s="473"/>
      <c r="BG35" s="473"/>
      <c r="BH35" s="473"/>
      <c r="BI35" s="473"/>
      <c r="BJ35" s="473"/>
      <c r="BK35" s="473"/>
      <c r="BL35" s="473"/>
      <c r="BM35" s="473"/>
      <c r="BN35" s="473"/>
      <c r="BO35" s="473"/>
      <c r="BP35" s="473"/>
      <c r="BQ35" s="473"/>
      <c r="BR35" s="473"/>
      <c r="BS35" s="473"/>
      <c r="BT35" s="473"/>
      <c r="BU35" s="473"/>
      <c r="BV35" s="473"/>
      <c r="BW35" s="473"/>
      <c r="BX35" s="473"/>
      <c r="BY35" s="473"/>
      <c r="BZ35" s="473"/>
      <c r="CA35" s="473"/>
      <c r="CB35" s="473"/>
    </row>
    <row r="36" spans="1:80" s="482" customFormat="1" ht="18.75" customHeight="1" x14ac:dyDescent="0.25">
      <c r="A36" s="473"/>
      <c r="B36" s="474"/>
      <c r="C36" s="475"/>
      <c r="D36" s="475"/>
      <c r="E36" s="468" t="str">
        <f>+CONCATENATE("Consumo"," ",G35)</f>
        <v>Consumo Gal/Km</v>
      </c>
      <c r="F36" s="476"/>
      <c r="G36" s="470"/>
      <c r="H36" s="1170">
        <f>+IFERROR(IF('Datos Prestador'!G35="Gal/Km",HLOOKUP('Datos Prestador'!G19,ReferenciasP!C76:F93,13,0),HLOOKUP('Datos Prestador'!G19,ReferenciasP!C76:F93,14,0)),0)</f>
        <v>0.08</v>
      </c>
      <c r="I36" s="1171"/>
      <c r="J36" s="477"/>
      <c r="K36" s="476"/>
      <c r="L36" s="478"/>
      <c r="M36" s="476"/>
      <c r="N36" s="476"/>
      <c r="O36" s="476"/>
      <c r="P36" s="476"/>
      <c r="Q36" s="488"/>
      <c r="R36" s="477"/>
      <c r="S36" s="481"/>
      <c r="T36" s="473"/>
      <c r="U36" s="473"/>
      <c r="V36" s="473"/>
      <c r="W36" s="473"/>
      <c r="X36" s="473"/>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3"/>
      <c r="AX36" s="473"/>
      <c r="AY36" s="473"/>
      <c r="AZ36" s="473"/>
      <c r="BA36" s="473"/>
      <c r="BB36" s="473"/>
      <c r="BC36" s="473"/>
      <c r="BD36" s="473"/>
      <c r="BE36" s="473"/>
      <c r="BF36" s="473"/>
      <c r="BG36" s="473"/>
      <c r="BH36" s="473"/>
      <c r="BI36" s="473"/>
      <c r="BJ36" s="473"/>
      <c r="BK36" s="473"/>
      <c r="BL36" s="473"/>
      <c r="BM36" s="473"/>
      <c r="BN36" s="473"/>
      <c r="BO36" s="473"/>
      <c r="BP36" s="473"/>
      <c r="BQ36" s="473"/>
      <c r="BR36" s="473"/>
      <c r="BS36" s="473"/>
      <c r="BT36" s="473"/>
      <c r="BU36" s="473"/>
      <c r="BV36" s="473"/>
      <c r="BW36" s="473"/>
      <c r="BX36" s="473"/>
      <c r="BY36" s="473"/>
      <c r="BZ36" s="473"/>
      <c r="CA36" s="473"/>
      <c r="CB36" s="473"/>
    </row>
    <row r="37" spans="1:80" s="482" customFormat="1" ht="18.75" customHeight="1" x14ac:dyDescent="0.25">
      <c r="A37" s="473"/>
      <c r="B37" s="474"/>
      <c r="C37" s="475"/>
      <c r="D37" s="475"/>
      <c r="E37" s="457" t="s">
        <v>454</v>
      </c>
      <c r="F37" s="476"/>
      <c r="G37" s="1156" t="s">
        <v>112</v>
      </c>
      <c r="H37" s="1169"/>
      <c r="I37" s="1153"/>
      <c r="J37" s="477"/>
      <c r="K37" s="476"/>
      <c r="L37" s="478"/>
      <c r="Q37" s="491"/>
      <c r="R37" s="477"/>
      <c r="S37" s="481"/>
      <c r="T37" s="473"/>
      <c r="U37" s="473"/>
      <c r="V37" s="473"/>
      <c r="W37" s="473"/>
      <c r="X37" s="473"/>
      <c r="Y37" s="473"/>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3"/>
      <c r="AW37" s="473"/>
      <c r="AX37" s="473"/>
      <c r="AY37" s="473"/>
      <c r="AZ37" s="473"/>
      <c r="BA37" s="473"/>
      <c r="BB37" s="473"/>
      <c r="BC37" s="473"/>
      <c r="BD37" s="473"/>
      <c r="BE37" s="473"/>
      <c r="BF37" s="473"/>
      <c r="BG37" s="473"/>
      <c r="BH37" s="473"/>
      <c r="BI37" s="473"/>
      <c r="BJ37" s="473"/>
      <c r="BK37" s="473"/>
      <c r="BL37" s="473"/>
      <c r="BM37" s="473"/>
      <c r="BN37" s="473"/>
      <c r="BO37" s="473"/>
      <c r="BP37" s="473"/>
      <c r="BQ37" s="473"/>
      <c r="BR37" s="473"/>
      <c r="BS37" s="473"/>
      <c r="BT37" s="473"/>
      <c r="BU37" s="473"/>
      <c r="BV37" s="473"/>
      <c r="BW37" s="473"/>
      <c r="BX37" s="473"/>
      <c r="BY37" s="473"/>
      <c r="BZ37" s="473"/>
      <c r="CA37" s="473"/>
      <c r="CB37" s="473"/>
    </row>
    <row r="38" spans="1:80" s="482" customFormat="1" ht="18.75" customHeight="1" x14ac:dyDescent="0.25">
      <c r="A38" s="473"/>
      <c r="B38" s="474"/>
      <c r="C38" s="475"/>
      <c r="D38" s="475"/>
      <c r="E38" s="468" t="str">
        <f>+CONCATENATE(G37," ","de Transporte")</f>
        <v>Velocidad (km/hr) de Transporte</v>
      </c>
      <c r="F38" s="476"/>
      <c r="G38" s="484"/>
      <c r="H38" s="1159">
        <f>+IFERROR(IF(G37="Velocidad (km/hr)",HLOOKUP(G19,ReferenciasP!C76:F93,16,0),HLOOKUP(G19,ReferenciasP!C76:F93,18,0)),0)</f>
        <v>42</v>
      </c>
      <c r="I38" s="1160"/>
      <c r="J38" s="477"/>
      <c r="K38" s="476"/>
      <c r="L38" s="478"/>
      <c r="Q38" s="477"/>
      <c r="R38" s="477"/>
      <c r="S38" s="481"/>
      <c r="T38" s="473"/>
      <c r="U38" s="473"/>
      <c r="V38" s="473"/>
      <c r="W38" s="473"/>
      <c r="X38" s="473"/>
      <c r="Y38" s="473"/>
      <c r="Z38" s="473"/>
      <c r="AA38" s="473"/>
      <c r="AB38" s="473"/>
      <c r="AC38" s="473"/>
      <c r="AD38" s="473"/>
      <c r="AE38" s="473"/>
      <c r="AF38" s="473"/>
      <c r="AG38" s="473"/>
      <c r="AH38" s="473"/>
      <c r="AI38" s="473"/>
      <c r="AJ38" s="473"/>
      <c r="AK38" s="473"/>
      <c r="AL38" s="473"/>
      <c r="AM38" s="473"/>
      <c r="AN38" s="473"/>
      <c r="AO38" s="473"/>
      <c r="AP38" s="473"/>
      <c r="AQ38" s="473"/>
      <c r="AR38" s="473"/>
      <c r="AS38" s="473"/>
      <c r="AT38" s="473"/>
      <c r="AU38" s="473"/>
      <c r="AV38" s="473"/>
      <c r="AW38" s="473"/>
      <c r="AX38" s="473"/>
      <c r="AY38" s="473"/>
      <c r="AZ38" s="473"/>
      <c r="BA38" s="473"/>
      <c r="BB38" s="473"/>
      <c r="BC38" s="473"/>
      <c r="BD38" s="473"/>
      <c r="BE38" s="473"/>
      <c r="BF38" s="473"/>
      <c r="BG38" s="473"/>
      <c r="BH38" s="473"/>
      <c r="BI38" s="473"/>
      <c r="BJ38" s="473"/>
      <c r="BK38" s="473"/>
      <c r="BL38" s="473"/>
      <c r="BM38" s="473"/>
      <c r="BN38" s="473"/>
      <c r="BO38" s="473"/>
      <c r="BP38" s="473"/>
      <c r="BQ38" s="473"/>
      <c r="BR38" s="473"/>
      <c r="BS38" s="473"/>
      <c r="BT38" s="473"/>
      <c r="BU38" s="473"/>
      <c r="BV38" s="473"/>
      <c r="BW38" s="473"/>
      <c r="BX38" s="473"/>
      <c r="BY38" s="473"/>
      <c r="BZ38" s="473"/>
      <c r="CA38" s="473"/>
      <c r="CB38" s="473"/>
    </row>
    <row r="39" spans="1:80" s="482" customFormat="1" ht="18.75" customHeight="1" x14ac:dyDescent="0.25">
      <c r="A39" s="473"/>
      <c r="B39" s="474"/>
      <c r="C39" s="475"/>
      <c r="D39" s="475"/>
      <c r="E39" s="468" t="str">
        <f>+IF(G19="Combinación de equipo de tracción manual con camión","",CONCATENATE(G37," ","de Recolección"))</f>
        <v/>
      </c>
      <c r="F39" s="476"/>
      <c r="G39" s="484"/>
      <c r="H39" s="1161">
        <f>IFERROR(IF(G19="Combinación de Equipo de tracción manual con camión",0,IF(G37="Velocidad (km/hr)",HLOOKUP(G19,ReferenciasP!C76:F93,15,0),HLOOKUP(G19,ReferenciasP!C76:F93,17,0))),0)</f>
        <v>0</v>
      </c>
      <c r="I39" s="1162"/>
      <c r="J39" s="477"/>
      <c r="K39" s="476"/>
      <c r="L39" s="478"/>
      <c r="Q39" s="477"/>
      <c r="R39" s="477"/>
      <c r="S39" s="481"/>
      <c r="T39" s="473"/>
      <c r="U39" s="473"/>
      <c r="V39" s="473"/>
      <c r="W39" s="473"/>
      <c r="X39" s="473"/>
      <c r="Y39" s="473"/>
      <c r="Z39" s="473"/>
      <c r="AA39" s="473"/>
      <c r="AB39" s="473"/>
      <c r="AC39" s="473"/>
      <c r="AD39" s="473"/>
      <c r="AE39" s="473"/>
      <c r="AF39" s="473"/>
      <c r="AG39" s="473"/>
      <c r="AH39" s="473"/>
      <c r="AI39" s="473"/>
      <c r="AJ39" s="473"/>
      <c r="AK39" s="473"/>
      <c r="AL39" s="473"/>
      <c r="AM39" s="473"/>
      <c r="AN39" s="473"/>
      <c r="AO39" s="473"/>
      <c r="AP39" s="473"/>
      <c r="AQ39" s="473"/>
      <c r="AR39" s="473"/>
      <c r="AS39" s="473"/>
      <c r="AT39" s="473"/>
      <c r="AU39" s="473"/>
      <c r="AV39" s="473"/>
      <c r="AW39" s="473"/>
      <c r="AX39" s="473"/>
      <c r="AY39" s="473"/>
      <c r="AZ39" s="473"/>
      <c r="BA39" s="473"/>
      <c r="BB39" s="473"/>
      <c r="BC39" s="473"/>
      <c r="BD39" s="473"/>
      <c r="BE39" s="473"/>
      <c r="BF39" s="473"/>
      <c r="BG39" s="473"/>
      <c r="BH39" s="473"/>
      <c r="BI39" s="473"/>
      <c r="BJ39" s="473"/>
      <c r="BK39" s="473"/>
      <c r="BL39" s="473"/>
      <c r="BM39" s="473"/>
      <c r="BN39" s="473"/>
      <c r="BO39" s="473"/>
      <c r="BP39" s="473"/>
      <c r="BQ39" s="473"/>
      <c r="BR39" s="473"/>
      <c r="BS39" s="473"/>
      <c r="BT39" s="473"/>
      <c r="BU39" s="473"/>
      <c r="BV39" s="473"/>
      <c r="BW39" s="473"/>
      <c r="BX39" s="473"/>
      <c r="BY39" s="473"/>
      <c r="BZ39" s="473"/>
      <c r="CA39" s="473"/>
      <c r="CB39" s="473"/>
    </row>
    <row r="40" spans="1:80" s="482" customFormat="1" ht="18.75" customHeight="1" x14ac:dyDescent="0.25">
      <c r="A40" s="473"/>
      <c r="B40" s="474"/>
      <c r="C40" s="475"/>
      <c r="D40" s="475"/>
      <c r="E40" s="455" t="s">
        <v>273</v>
      </c>
      <c r="F40" s="476"/>
      <c r="G40" s="470"/>
      <c r="H40" s="455"/>
      <c r="I40" s="455"/>
      <c r="J40" s="477"/>
      <c r="K40" s="476"/>
      <c r="L40" s="478"/>
      <c r="Q40" s="477"/>
      <c r="R40" s="477"/>
      <c r="S40" s="481"/>
      <c r="T40" s="473"/>
      <c r="U40" s="473"/>
      <c r="V40" s="473"/>
      <c r="W40" s="473"/>
      <c r="X40" s="473"/>
      <c r="Y40" s="473"/>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3"/>
      <c r="AV40" s="473"/>
      <c r="AW40" s="473"/>
      <c r="AX40" s="473"/>
      <c r="AY40" s="473"/>
      <c r="AZ40" s="473"/>
      <c r="BA40" s="473"/>
      <c r="BB40" s="473"/>
      <c r="BC40" s="473"/>
      <c r="BD40" s="473"/>
      <c r="BE40" s="473"/>
      <c r="BF40" s="473"/>
      <c r="BG40" s="473"/>
      <c r="BH40" s="473"/>
      <c r="BI40" s="473"/>
      <c r="BJ40" s="473"/>
      <c r="BK40" s="473"/>
      <c r="BL40" s="473"/>
      <c r="BM40" s="473"/>
      <c r="BN40" s="473"/>
      <c r="BO40" s="473"/>
      <c r="BP40" s="473"/>
      <c r="BQ40" s="473"/>
      <c r="BR40" s="473"/>
      <c r="BS40" s="473"/>
      <c r="BT40" s="473"/>
      <c r="BU40" s="473"/>
      <c r="BV40" s="473"/>
      <c r="BW40" s="473"/>
      <c r="BX40" s="473"/>
      <c r="BY40" s="473"/>
      <c r="BZ40" s="473"/>
      <c r="CA40" s="473"/>
      <c r="CB40" s="473"/>
    </row>
    <row r="41" spans="1:80" s="482" customFormat="1" ht="18.75" customHeight="1" x14ac:dyDescent="0.25">
      <c r="A41" s="473"/>
      <c r="B41" s="474"/>
      <c r="C41" s="475"/>
      <c r="D41" s="475"/>
      <c r="E41" s="455" t="s">
        <v>274</v>
      </c>
      <c r="F41" s="476"/>
      <c r="G41" s="470"/>
      <c r="H41" s="455"/>
      <c r="I41" s="455"/>
      <c r="J41" s="477"/>
      <c r="K41" s="476"/>
      <c r="L41" s="478"/>
      <c r="Q41" s="477"/>
      <c r="R41" s="477"/>
      <c r="S41" s="481"/>
      <c r="T41" s="473"/>
      <c r="U41" s="473"/>
      <c r="V41" s="473"/>
      <c r="W41" s="473"/>
      <c r="X41" s="473"/>
      <c r="Y41" s="473"/>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3"/>
      <c r="AW41" s="473"/>
      <c r="AX41" s="473"/>
      <c r="AY41" s="473"/>
      <c r="AZ41" s="473"/>
      <c r="BA41" s="473"/>
      <c r="BB41" s="473"/>
      <c r="BC41" s="473"/>
      <c r="BD41" s="473"/>
      <c r="BE41" s="473"/>
      <c r="BF41" s="473"/>
      <c r="BG41" s="473"/>
      <c r="BH41" s="473"/>
      <c r="BI41" s="473"/>
      <c r="BJ41" s="473"/>
      <c r="BK41" s="473"/>
      <c r="BL41" s="473"/>
      <c r="BM41" s="473"/>
      <c r="BN41" s="473"/>
      <c r="BO41" s="473"/>
      <c r="BP41" s="473"/>
      <c r="BQ41" s="473"/>
      <c r="BR41" s="473"/>
      <c r="BS41" s="473"/>
      <c r="BT41" s="473"/>
      <c r="BU41" s="473"/>
      <c r="BV41" s="473"/>
      <c r="BW41" s="473"/>
      <c r="BX41" s="473"/>
      <c r="BY41" s="473"/>
      <c r="BZ41" s="473"/>
      <c r="CA41" s="473"/>
      <c r="CB41" s="473"/>
    </row>
    <row r="42" spans="1:80" s="482" customFormat="1" ht="28.5" customHeight="1" x14ac:dyDescent="0.25">
      <c r="A42" s="473"/>
      <c r="B42" s="474"/>
      <c r="C42" s="475"/>
      <c r="D42" s="492"/>
      <c r="E42" s="493"/>
      <c r="F42" s="493"/>
      <c r="G42" s="493"/>
      <c r="H42" s="493"/>
      <c r="I42" s="493"/>
      <c r="J42" s="494"/>
      <c r="K42" s="476"/>
      <c r="L42" s="495"/>
      <c r="M42" s="496"/>
      <c r="N42" s="496"/>
      <c r="O42" s="496"/>
      <c r="P42" s="496"/>
      <c r="Q42" s="494"/>
      <c r="R42" s="477"/>
      <c r="S42" s="481"/>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3"/>
      <c r="AW42" s="473"/>
      <c r="AX42" s="473"/>
      <c r="AY42" s="473"/>
      <c r="AZ42" s="473"/>
      <c r="BA42" s="473"/>
      <c r="BB42" s="473"/>
      <c r="BC42" s="473"/>
      <c r="BD42" s="473"/>
      <c r="BE42" s="473"/>
      <c r="BF42" s="473"/>
      <c r="BG42" s="473"/>
      <c r="BH42" s="473"/>
      <c r="BI42" s="473"/>
      <c r="BJ42" s="473"/>
      <c r="BK42" s="473"/>
      <c r="BL42" s="473"/>
      <c r="BM42" s="473"/>
      <c r="BN42" s="473"/>
      <c r="BO42" s="473"/>
      <c r="BP42" s="473"/>
      <c r="BQ42" s="473"/>
      <c r="BR42" s="473"/>
      <c r="BS42" s="473"/>
      <c r="BT42" s="473"/>
      <c r="BU42" s="473"/>
      <c r="BV42" s="473"/>
      <c r="BW42" s="473"/>
      <c r="BX42" s="473"/>
      <c r="BY42" s="473"/>
      <c r="BZ42" s="473"/>
      <c r="CA42" s="473"/>
      <c r="CB42" s="473"/>
    </row>
    <row r="43" spans="1:80" x14ac:dyDescent="0.25">
      <c r="B43" s="447"/>
      <c r="C43" s="497"/>
      <c r="D43" s="498"/>
      <c r="E43" s="498"/>
      <c r="F43" s="498"/>
      <c r="G43" s="498"/>
      <c r="H43" s="498"/>
      <c r="I43" s="498"/>
      <c r="J43" s="498"/>
      <c r="K43" s="498"/>
      <c r="L43" s="498"/>
      <c r="M43" s="498"/>
      <c r="N43" s="498"/>
      <c r="O43" s="498"/>
      <c r="P43" s="498"/>
      <c r="Q43" s="498"/>
      <c r="R43" s="499"/>
      <c r="S43" s="448"/>
    </row>
    <row r="44" spans="1:80" x14ac:dyDescent="0.25">
      <c r="B44" s="447"/>
      <c r="C44" s="455"/>
      <c r="D44" s="455"/>
      <c r="E44" s="455"/>
      <c r="F44" s="455"/>
      <c r="G44" s="455"/>
      <c r="H44" s="455"/>
      <c r="I44" s="455"/>
      <c r="J44" s="455"/>
      <c r="K44" s="455"/>
      <c r="L44" s="455"/>
      <c r="M44" s="455"/>
      <c r="N44" s="455"/>
      <c r="O44" s="455"/>
      <c r="P44" s="455"/>
      <c r="Q44" s="455"/>
      <c r="R44" s="455"/>
      <c r="S44" s="448"/>
    </row>
    <row r="45" spans="1:80" x14ac:dyDescent="0.25">
      <c r="B45" s="447"/>
      <c r="C45" s="449"/>
      <c r="D45" s="449"/>
      <c r="E45" s="449"/>
      <c r="F45" s="449"/>
      <c r="G45" s="449"/>
      <c r="H45" s="449"/>
      <c r="I45" s="449"/>
      <c r="J45" s="449"/>
      <c r="K45" s="449"/>
      <c r="L45" s="449"/>
      <c r="M45" s="449"/>
      <c r="N45" s="449"/>
      <c r="O45" s="449"/>
      <c r="P45" s="449"/>
      <c r="Q45" s="449"/>
      <c r="R45" s="449"/>
      <c r="S45" s="448"/>
    </row>
    <row r="46" spans="1:80" x14ac:dyDescent="0.25">
      <c r="B46" s="447"/>
      <c r="C46" s="500"/>
      <c r="D46" s="501"/>
      <c r="E46" s="501"/>
      <c r="F46" s="501"/>
      <c r="G46" s="501"/>
      <c r="H46" s="501"/>
      <c r="I46" s="501"/>
      <c r="J46" s="501"/>
      <c r="K46" s="501"/>
      <c r="L46" s="501"/>
      <c r="M46" s="501"/>
      <c r="N46" s="501"/>
      <c r="O46" s="501"/>
      <c r="P46" s="501"/>
      <c r="Q46" s="501"/>
      <c r="R46" s="502"/>
      <c r="S46" s="448"/>
    </row>
    <row r="47" spans="1:80" ht="18.75" x14ac:dyDescent="0.25">
      <c r="B47" s="447"/>
      <c r="C47" s="503"/>
      <c r="D47" s="449"/>
      <c r="E47" s="1088" t="s">
        <v>502</v>
      </c>
      <c r="F47" s="1089"/>
      <c r="G47" s="1089"/>
      <c r="H47" s="1089"/>
      <c r="I47" s="1089"/>
      <c r="J47" s="1089"/>
      <c r="K47" s="1089"/>
      <c r="L47" s="1089"/>
      <c r="M47" s="1089"/>
      <c r="N47" s="1089"/>
      <c r="O47" s="1089"/>
      <c r="P47" s="1090"/>
      <c r="Q47" s="449"/>
      <c r="R47" s="504"/>
      <c r="S47" s="448"/>
    </row>
    <row r="48" spans="1:80" x14ac:dyDescent="0.25">
      <c r="B48" s="447"/>
      <c r="C48" s="503"/>
      <c r="D48" s="449"/>
      <c r="E48" s="449"/>
      <c r="F48" s="449"/>
      <c r="G48" s="449"/>
      <c r="H48" s="449"/>
      <c r="I48" s="449"/>
      <c r="J48" s="449"/>
      <c r="K48" s="449"/>
      <c r="L48" s="449"/>
      <c r="M48" s="449"/>
      <c r="N48" s="449"/>
      <c r="O48" s="449"/>
      <c r="P48" s="449"/>
      <c r="Q48" s="449"/>
      <c r="R48" s="504"/>
      <c r="S48" s="448"/>
    </row>
    <row r="49" spans="2:19" ht="35.450000000000003" customHeight="1" x14ac:dyDescent="0.25">
      <c r="B49" s="447"/>
      <c r="C49" s="503"/>
      <c r="D49" s="449"/>
      <c r="E49" s="1084" t="s">
        <v>457</v>
      </c>
      <c r="F49" s="1084"/>
      <c r="G49" s="1084"/>
      <c r="H49" s="1084"/>
      <c r="I49" s="1084"/>
      <c r="J49" s="1084"/>
      <c r="K49" s="1084"/>
      <c r="L49" s="1084"/>
      <c r="M49" s="1084"/>
      <c r="N49" s="1084"/>
      <c r="O49" s="1084"/>
      <c r="P49" s="1084"/>
      <c r="Q49" s="449"/>
      <c r="R49" s="504"/>
      <c r="S49" s="448"/>
    </row>
    <row r="50" spans="2:19" x14ac:dyDescent="0.25">
      <c r="B50" s="447"/>
      <c r="C50" s="503"/>
      <c r="D50" s="449"/>
      <c r="E50" s="505" t="s">
        <v>514</v>
      </c>
      <c r="F50" s="449"/>
      <c r="G50" s="449"/>
      <c r="H50" s="449"/>
      <c r="I50" s="449"/>
      <c r="J50" s="449"/>
      <c r="K50" s="449"/>
      <c r="L50" s="449"/>
      <c r="M50" s="449"/>
      <c r="N50" s="449"/>
      <c r="O50" s="449"/>
      <c r="P50" s="449"/>
      <c r="Q50" s="449"/>
      <c r="R50" s="504"/>
      <c r="S50" s="448"/>
    </row>
    <row r="51" spans="2:19" ht="57.6" customHeight="1" x14ac:dyDescent="0.25">
      <c r="B51" s="447"/>
      <c r="C51" s="503"/>
      <c r="D51" s="449"/>
      <c r="E51" s="1101" t="s">
        <v>83</v>
      </c>
      <c r="F51" s="1102"/>
      <c r="G51" s="1102" t="s">
        <v>110</v>
      </c>
      <c r="H51" s="1098"/>
      <c r="I51" s="1112" t="s">
        <v>266</v>
      </c>
      <c r="J51" s="1114"/>
      <c r="K51" s="1101" t="s">
        <v>272</v>
      </c>
      <c r="L51" s="1102"/>
      <c r="M51" s="506" t="s">
        <v>697</v>
      </c>
      <c r="N51" s="506" t="s">
        <v>698</v>
      </c>
      <c r="O51" s="506" t="s">
        <v>690</v>
      </c>
      <c r="Q51" s="449"/>
      <c r="R51" s="504"/>
      <c r="S51" s="448"/>
    </row>
    <row r="52" spans="2:19" x14ac:dyDescent="0.25">
      <c r="B52" s="447"/>
      <c r="C52" s="503"/>
      <c r="D52" s="449"/>
      <c r="E52" s="507" t="s">
        <v>85</v>
      </c>
      <c r="F52" s="508"/>
      <c r="G52" s="1153"/>
      <c r="H52" s="1154"/>
      <c r="I52" s="1155"/>
      <c r="J52" s="1155"/>
      <c r="K52" s="1156"/>
      <c r="L52" s="1153"/>
      <c r="M52" s="509"/>
      <c r="N52" s="509"/>
      <c r="O52" s="1058"/>
      <c r="Q52" s="449"/>
      <c r="R52" s="504"/>
      <c r="S52" s="448"/>
    </row>
    <row r="53" spans="2:19" x14ac:dyDescent="0.25">
      <c r="B53" s="447"/>
      <c r="C53" s="503"/>
      <c r="D53" s="449"/>
      <c r="E53" s="507" t="s">
        <v>212</v>
      </c>
      <c r="F53" s="508"/>
      <c r="G53" s="1153"/>
      <c r="H53" s="1154"/>
      <c r="I53" s="1155"/>
      <c r="J53" s="1155"/>
      <c r="K53" s="1156"/>
      <c r="L53" s="1153"/>
      <c r="M53" s="509"/>
      <c r="N53" s="509"/>
      <c r="O53" s="1059"/>
      <c r="Q53" s="449"/>
      <c r="R53" s="504"/>
      <c r="S53" s="448"/>
    </row>
    <row r="54" spans="2:19" x14ac:dyDescent="0.25">
      <c r="B54" s="447"/>
      <c r="C54" s="503"/>
      <c r="D54" s="449"/>
      <c r="E54" s="507" t="s">
        <v>433</v>
      </c>
      <c r="F54" s="508"/>
      <c r="G54" s="1153"/>
      <c r="H54" s="1154"/>
      <c r="I54" s="1011"/>
      <c r="J54" s="1011"/>
      <c r="K54" s="1156"/>
      <c r="L54" s="1153"/>
      <c r="M54" s="509"/>
      <c r="N54" s="509"/>
      <c r="O54" s="1059"/>
      <c r="Q54" s="449"/>
      <c r="R54" s="504"/>
      <c r="S54" s="448"/>
    </row>
    <row r="55" spans="2:19" x14ac:dyDescent="0.25">
      <c r="B55" s="447"/>
      <c r="C55" s="503"/>
      <c r="D55" s="449"/>
      <c r="E55" s="507" t="s">
        <v>153</v>
      </c>
      <c r="F55" s="508"/>
      <c r="G55" s="1153"/>
      <c r="H55" s="1154"/>
      <c r="I55" s="1011"/>
      <c r="J55" s="1011"/>
      <c r="K55" s="1156"/>
      <c r="L55" s="1153"/>
      <c r="M55" s="684"/>
      <c r="N55" s="509"/>
      <c r="O55" s="1060"/>
      <c r="Q55" s="449"/>
      <c r="R55" s="504"/>
      <c r="S55" s="448"/>
    </row>
    <row r="56" spans="2:19" x14ac:dyDescent="0.25">
      <c r="B56" s="447"/>
      <c r="C56" s="510"/>
      <c r="D56" s="511"/>
      <c r="E56" s="511"/>
      <c r="F56" s="511"/>
      <c r="G56" s="511"/>
      <c r="H56" s="511"/>
      <c r="I56" s="511"/>
      <c r="J56" s="511"/>
      <c r="K56" s="511"/>
      <c r="L56" s="511"/>
      <c r="M56" s="511"/>
      <c r="N56" s="511"/>
      <c r="O56" s="511"/>
      <c r="P56" s="511"/>
      <c r="Q56" s="511"/>
      <c r="R56" s="512"/>
      <c r="S56" s="448"/>
    </row>
    <row r="57" spans="2:19" x14ac:dyDescent="0.25">
      <c r="B57" s="447"/>
      <c r="C57" s="449"/>
      <c r="D57" s="449"/>
      <c r="E57" s="449"/>
      <c r="F57" s="449"/>
      <c r="G57" s="449"/>
      <c r="H57" s="449"/>
      <c r="I57" s="449"/>
      <c r="J57" s="449"/>
      <c r="K57" s="449"/>
      <c r="L57" s="449"/>
      <c r="M57" s="449"/>
      <c r="N57" s="449"/>
      <c r="O57" s="449"/>
      <c r="P57" s="449"/>
      <c r="Q57" s="449"/>
      <c r="R57" s="449"/>
      <c r="S57" s="448"/>
    </row>
    <row r="58" spans="2:19" x14ac:dyDescent="0.25">
      <c r="B58" s="447"/>
      <c r="C58" s="449"/>
      <c r="D58" s="449"/>
      <c r="E58" s="449"/>
      <c r="F58" s="449"/>
      <c r="G58" s="449"/>
      <c r="H58" s="449"/>
      <c r="I58" s="449"/>
      <c r="J58" s="449"/>
      <c r="K58" s="449"/>
      <c r="L58" s="449"/>
      <c r="M58" s="449"/>
      <c r="N58" s="449"/>
      <c r="O58" s="449"/>
      <c r="P58" s="449"/>
      <c r="Q58" s="449"/>
      <c r="R58" s="449"/>
      <c r="S58" s="448"/>
    </row>
    <row r="59" spans="2:19" x14ac:dyDescent="0.25">
      <c r="B59" s="447"/>
      <c r="C59" s="500"/>
      <c r="D59" s="501"/>
      <c r="E59" s="501"/>
      <c r="F59" s="501"/>
      <c r="G59" s="501"/>
      <c r="H59" s="501"/>
      <c r="I59" s="501"/>
      <c r="J59" s="501"/>
      <c r="K59" s="501"/>
      <c r="L59" s="501"/>
      <c r="M59" s="501"/>
      <c r="N59" s="501"/>
      <c r="O59" s="501"/>
      <c r="P59" s="501"/>
      <c r="Q59" s="501"/>
      <c r="R59" s="502"/>
      <c r="S59" s="448"/>
    </row>
    <row r="60" spans="2:19" ht="18.75" x14ac:dyDescent="0.25">
      <c r="B60" s="447"/>
      <c r="C60" s="503"/>
      <c r="D60" s="449"/>
      <c r="E60" s="1088" t="s">
        <v>138</v>
      </c>
      <c r="F60" s="1089"/>
      <c r="G60" s="1089"/>
      <c r="H60" s="1089"/>
      <c r="I60" s="1089"/>
      <c r="J60" s="1089"/>
      <c r="K60" s="1089"/>
      <c r="L60" s="1089"/>
      <c r="M60" s="1089"/>
      <c r="N60" s="1089"/>
      <c r="O60" s="1089"/>
      <c r="P60" s="1090"/>
      <c r="Q60" s="513"/>
      <c r="R60" s="504"/>
      <c r="S60" s="448"/>
    </row>
    <row r="61" spans="2:19" x14ac:dyDescent="0.25">
      <c r="B61" s="447"/>
      <c r="C61" s="503"/>
      <c r="D61" s="449"/>
      <c r="E61" s="449"/>
      <c r="F61" s="449"/>
      <c r="G61" s="449"/>
      <c r="H61" s="449"/>
      <c r="I61" s="449"/>
      <c r="J61" s="449"/>
      <c r="K61" s="449"/>
      <c r="L61" s="449"/>
      <c r="M61" s="449"/>
      <c r="N61" s="449"/>
      <c r="O61" s="449"/>
      <c r="P61" s="449"/>
      <c r="Q61" s="449"/>
      <c r="R61" s="504"/>
      <c r="S61" s="448"/>
    </row>
    <row r="62" spans="2:19" x14ac:dyDescent="0.25">
      <c r="B62" s="447"/>
      <c r="C62" s="503"/>
      <c r="D62" s="449"/>
      <c r="E62" s="1116" t="s">
        <v>596</v>
      </c>
      <c r="F62" s="1116"/>
      <c r="G62" s="1116"/>
      <c r="H62" s="1116"/>
      <c r="I62" s="1116"/>
      <c r="J62" s="1116"/>
      <c r="K62" s="1116"/>
      <c r="L62" s="1116"/>
      <c r="M62" s="1116"/>
      <c r="N62" s="1116"/>
      <c r="O62" s="1116"/>
      <c r="P62" s="1116"/>
      <c r="Q62" s="449"/>
      <c r="R62" s="504"/>
      <c r="S62" s="448"/>
    </row>
    <row r="63" spans="2:19" x14ac:dyDescent="0.25">
      <c r="B63" s="447"/>
      <c r="C63" s="503"/>
      <c r="D63" s="449"/>
      <c r="E63" s="449"/>
      <c r="F63" s="449"/>
      <c r="G63" s="449"/>
      <c r="H63" s="449"/>
      <c r="I63" s="449"/>
      <c r="J63" s="449"/>
      <c r="K63" s="449"/>
      <c r="L63" s="449"/>
      <c r="M63" s="449"/>
      <c r="N63" s="449"/>
      <c r="O63" s="449"/>
      <c r="P63" s="449"/>
      <c r="Q63" s="449"/>
      <c r="R63" s="504"/>
      <c r="S63" s="448"/>
    </row>
    <row r="64" spans="2:19" ht="45" customHeight="1" x14ac:dyDescent="0.25">
      <c r="B64" s="447"/>
      <c r="C64" s="503"/>
      <c r="D64" s="449"/>
      <c r="E64" s="449"/>
      <c r="F64" s="1112" t="s">
        <v>83</v>
      </c>
      <c r="G64" s="1113"/>
      <c r="H64" s="1114"/>
      <c r="I64" s="1072" t="s">
        <v>275</v>
      </c>
      <c r="J64" s="1074"/>
      <c r="K64" s="1072" t="s">
        <v>146</v>
      </c>
      <c r="L64" s="1074"/>
      <c r="M64" s="506" t="s">
        <v>125</v>
      </c>
      <c r="N64" s="506" t="s">
        <v>424</v>
      </c>
      <c r="O64" s="506" t="s">
        <v>137</v>
      </c>
      <c r="P64" s="449"/>
      <c r="Q64" s="449"/>
      <c r="R64" s="504"/>
      <c r="S64" s="448"/>
    </row>
    <row r="65" spans="2:19" ht="19.5" customHeight="1" x14ac:dyDescent="0.25">
      <c r="B65" s="447"/>
      <c r="C65" s="503"/>
      <c r="D65" s="449"/>
      <c r="E65" s="449"/>
      <c r="F65" s="1145" t="s">
        <v>85</v>
      </c>
      <c r="G65" s="1146"/>
      <c r="H65" s="1147"/>
      <c r="I65" s="1148"/>
      <c r="J65" s="1149"/>
      <c r="K65" s="1143">
        <f>+IF('Datos Generales'!K11="Moneda local",ReferenciasP!C95,ReferenciasP!C94)</f>
        <v>7290.2503836494298</v>
      </c>
      <c r="L65" s="1144"/>
      <c r="M65" s="514"/>
      <c r="N65" s="514"/>
      <c r="O65" s="514"/>
      <c r="P65" s="449"/>
      <c r="Q65" s="449"/>
      <c r="R65" s="504"/>
      <c r="S65" s="448"/>
    </row>
    <row r="66" spans="2:19" ht="19.5" customHeight="1" x14ac:dyDescent="0.25">
      <c r="B66" s="447"/>
      <c r="C66" s="503"/>
      <c r="D66" s="449"/>
      <c r="E66" s="449"/>
      <c r="F66" s="1145" t="s">
        <v>212</v>
      </c>
      <c r="G66" s="1146"/>
      <c r="H66" s="1147"/>
      <c r="I66" s="1148"/>
      <c r="J66" s="1149"/>
      <c r="K66" s="1143">
        <f>+IF('Datos Generales'!K11="Moneda local",ReferenciasP!D95,ReferenciasP!D94)</f>
        <v>29161.001534597701</v>
      </c>
      <c r="L66" s="1144"/>
      <c r="M66" s="514"/>
      <c r="N66" s="514"/>
      <c r="O66" s="514"/>
      <c r="P66" s="449"/>
      <c r="Q66" s="449"/>
      <c r="R66" s="504"/>
      <c r="S66" s="448"/>
    </row>
    <row r="67" spans="2:19" ht="19.5" customHeight="1" x14ac:dyDescent="0.25">
      <c r="B67" s="447"/>
      <c r="C67" s="503"/>
      <c r="D67" s="449"/>
      <c r="E67" s="449"/>
      <c r="F67" s="1145" t="s">
        <v>433</v>
      </c>
      <c r="G67" s="1146"/>
      <c r="H67" s="1147"/>
      <c r="I67" s="1148"/>
      <c r="J67" s="1149"/>
      <c r="K67" s="1143">
        <f>+IF('Datos Generales'!K11="Moneda local",ReferenciasP!E95,ReferenciasP!E94)</f>
        <v>364.51251918247101</v>
      </c>
      <c r="L67" s="1144"/>
      <c r="M67" s="514"/>
      <c r="N67" s="514"/>
      <c r="O67" s="514"/>
      <c r="P67" s="449"/>
      <c r="Q67" s="449"/>
      <c r="R67" s="504"/>
      <c r="S67" s="448"/>
    </row>
    <row r="68" spans="2:19" ht="25.15" customHeight="1" x14ac:dyDescent="0.25">
      <c r="B68" s="447"/>
      <c r="C68" s="503"/>
      <c r="D68" s="449"/>
      <c r="E68" s="449"/>
      <c r="F68" s="1145" t="s">
        <v>153</v>
      </c>
      <c r="G68" s="1146"/>
      <c r="H68" s="1147"/>
      <c r="I68" s="1148"/>
      <c r="J68" s="1149"/>
      <c r="K68" s="1143">
        <f>+IF('Datos Generales'!K11="Moneda local",ReferenciasP!G95,ReferenciasP!G94)</f>
        <v>320</v>
      </c>
      <c r="L68" s="1144"/>
      <c r="M68" s="514"/>
      <c r="N68" s="514"/>
      <c r="O68" s="514"/>
      <c r="P68" s="449"/>
      <c r="Q68" s="449"/>
      <c r="R68" s="504"/>
      <c r="S68" s="448"/>
    </row>
    <row r="69" spans="2:19" ht="20.45" customHeight="1" x14ac:dyDescent="0.25">
      <c r="B69" s="447"/>
      <c r="C69" s="503"/>
      <c r="D69" s="449"/>
      <c r="E69" s="449"/>
      <c r="F69" s="449"/>
      <c r="G69" s="449"/>
      <c r="H69" s="449"/>
      <c r="I69" s="449"/>
      <c r="J69" s="449"/>
      <c r="K69" s="449"/>
      <c r="L69" s="449"/>
      <c r="M69" s="449"/>
      <c r="N69" s="449"/>
      <c r="O69" s="449"/>
      <c r="P69" s="449"/>
      <c r="Q69" s="449"/>
      <c r="R69" s="504"/>
      <c r="S69" s="448"/>
    </row>
    <row r="70" spans="2:19" x14ac:dyDescent="0.25">
      <c r="B70" s="447"/>
      <c r="C70" s="510"/>
      <c r="D70" s="511"/>
      <c r="E70" s="511"/>
      <c r="F70" s="511"/>
      <c r="G70" s="511"/>
      <c r="H70" s="511"/>
      <c r="I70" s="511"/>
      <c r="J70" s="511"/>
      <c r="K70" s="511"/>
      <c r="L70" s="511"/>
      <c r="M70" s="511"/>
      <c r="N70" s="511"/>
      <c r="O70" s="511"/>
      <c r="P70" s="511"/>
      <c r="Q70" s="511"/>
      <c r="R70" s="512"/>
      <c r="S70" s="448"/>
    </row>
    <row r="71" spans="2:19" x14ac:dyDescent="0.25">
      <c r="B71" s="447"/>
      <c r="C71" s="449"/>
      <c r="D71" s="449"/>
      <c r="E71" s="449"/>
      <c r="F71" s="449"/>
      <c r="G71" s="449"/>
      <c r="H71" s="449"/>
      <c r="I71" s="449"/>
      <c r="J71" s="449"/>
      <c r="K71" s="449"/>
      <c r="L71" s="449"/>
      <c r="M71" s="449"/>
      <c r="N71" s="449"/>
      <c r="O71" s="449"/>
      <c r="P71" s="449"/>
      <c r="Q71" s="449"/>
      <c r="R71" s="449"/>
      <c r="S71" s="448"/>
    </row>
    <row r="72" spans="2:19" x14ac:dyDescent="0.25">
      <c r="B72" s="447"/>
      <c r="C72" s="449"/>
      <c r="D72" s="449"/>
      <c r="E72" s="449"/>
      <c r="F72" s="449"/>
      <c r="G72" s="449"/>
      <c r="H72" s="449"/>
      <c r="I72" s="449"/>
      <c r="J72" s="449"/>
      <c r="K72" s="449"/>
      <c r="L72" s="449"/>
      <c r="M72" s="449"/>
      <c r="N72" s="449"/>
      <c r="O72" s="449"/>
      <c r="P72" s="449"/>
      <c r="Q72" s="449"/>
      <c r="R72" s="449"/>
      <c r="S72" s="448"/>
    </row>
    <row r="73" spans="2:19" ht="9" customHeight="1" x14ac:dyDescent="0.25">
      <c r="B73" s="447"/>
      <c r="S73" s="448"/>
    </row>
    <row r="74" spans="2:19" ht="20.25" customHeight="1" x14ac:dyDescent="0.25">
      <c r="B74" s="447"/>
      <c r="C74" s="500"/>
      <c r="D74" s="501"/>
      <c r="E74" s="501"/>
      <c r="F74" s="501"/>
      <c r="G74" s="501"/>
      <c r="H74" s="501"/>
      <c r="I74" s="501"/>
      <c r="J74" s="501"/>
      <c r="K74" s="501"/>
      <c r="L74" s="501"/>
      <c r="M74" s="501"/>
      <c r="N74" s="501"/>
      <c r="O74" s="501"/>
      <c r="P74" s="501"/>
      <c r="Q74" s="501"/>
      <c r="R74" s="502"/>
      <c r="S74" s="448"/>
    </row>
    <row r="75" spans="2:19" ht="18.75" x14ac:dyDescent="0.25">
      <c r="B75" s="447"/>
      <c r="C75" s="503"/>
      <c r="D75" s="449"/>
      <c r="E75" s="1088" t="s">
        <v>297</v>
      </c>
      <c r="F75" s="1089"/>
      <c r="G75" s="1089"/>
      <c r="H75" s="1089"/>
      <c r="I75" s="1089"/>
      <c r="J75" s="1089"/>
      <c r="K75" s="1089"/>
      <c r="L75" s="1089"/>
      <c r="M75" s="1089"/>
      <c r="N75" s="1089"/>
      <c r="O75" s="1089"/>
      <c r="P75" s="1090"/>
      <c r="Q75" s="513"/>
      <c r="R75" s="504"/>
      <c r="S75" s="448"/>
    </row>
    <row r="76" spans="2:19" x14ac:dyDescent="0.25">
      <c r="B76" s="447"/>
      <c r="C76" s="503"/>
      <c r="D76" s="449"/>
      <c r="E76" s="449"/>
      <c r="F76" s="449"/>
      <c r="G76" s="449"/>
      <c r="H76" s="449"/>
      <c r="I76" s="449"/>
      <c r="J76" s="449"/>
      <c r="K76" s="449"/>
      <c r="L76" s="449"/>
      <c r="M76" s="449"/>
      <c r="N76" s="449"/>
      <c r="O76" s="449"/>
      <c r="P76" s="449"/>
      <c r="Q76" s="449"/>
      <c r="R76" s="504"/>
      <c r="S76" s="448"/>
    </row>
    <row r="77" spans="2:19" x14ac:dyDescent="0.25">
      <c r="B77" s="447"/>
      <c r="C77" s="503"/>
      <c r="D77" s="449"/>
      <c r="E77" s="1158" t="str">
        <f>+CONCATENATE("Información Laboral General del ",G24)</f>
        <v>Información Laboral General del Vehículo motorizado mediano</v>
      </c>
      <c r="F77" s="1158"/>
      <c r="G77" s="1158"/>
      <c r="H77" s="1158"/>
      <c r="I77" s="1158"/>
      <c r="J77" s="449"/>
      <c r="K77" s="449"/>
      <c r="L77" s="449"/>
      <c r="M77" s="1158" t="s">
        <v>682</v>
      </c>
      <c r="N77" s="1158"/>
      <c r="O77" s="1158"/>
      <c r="P77" s="1158"/>
      <c r="Q77" s="449"/>
      <c r="R77" s="504"/>
      <c r="S77" s="448"/>
    </row>
    <row r="78" spans="2:19" x14ac:dyDescent="0.25">
      <c r="B78" s="447"/>
      <c r="C78" s="503"/>
      <c r="D78" s="449"/>
      <c r="E78" s="476"/>
      <c r="F78" s="476"/>
      <c r="G78" s="476"/>
      <c r="H78" s="476"/>
      <c r="I78" s="476"/>
      <c r="J78" s="449"/>
      <c r="K78" s="449"/>
      <c r="L78" s="449"/>
      <c r="M78" s="476"/>
      <c r="N78" s="476"/>
      <c r="O78" s="476"/>
      <c r="P78" s="476"/>
      <c r="Q78" s="449"/>
      <c r="R78" s="504"/>
      <c r="S78" s="448"/>
    </row>
    <row r="79" spans="2:19" x14ac:dyDescent="0.25">
      <c r="B79" s="447"/>
      <c r="C79" s="503"/>
      <c r="D79" s="449"/>
      <c r="E79" s="468" t="s">
        <v>98</v>
      </c>
      <c r="F79" s="476"/>
      <c r="G79" s="470"/>
      <c r="H79" s="1159">
        <f>+ReferenciasP!C104</f>
        <v>26</v>
      </c>
      <c r="I79" s="1160"/>
      <c r="J79" s="449"/>
      <c r="K79" s="449"/>
      <c r="L79" s="449"/>
      <c r="M79" s="468" t="s">
        <v>98</v>
      </c>
      <c r="N79" s="515"/>
      <c r="O79" s="516"/>
      <c r="P79" s="517">
        <f>+H79</f>
        <v>26</v>
      </c>
      <c r="Q79" s="449"/>
      <c r="R79" s="504"/>
      <c r="S79" s="448"/>
    </row>
    <row r="80" spans="2:19" x14ac:dyDescent="0.25">
      <c r="B80" s="447"/>
      <c r="C80" s="503"/>
      <c r="D80" s="449"/>
      <c r="E80" s="468" t="s">
        <v>99</v>
      </c>
      <c r="F80" s="476"/>
      <c r="G80" s="470"/>
      <c r="H80" s="1159">
        <f>+IF('Datos Generales'!E36&gt;374400,3,2)</f>
        <v>2</v>
      </c>
      <c r="I80" s="1160"/>
      <c r="J80" s="449"/>
      <c r="K80" s="449"/>
      <c r="L80" s="449"/>
      <c r="M80" s="468" t="s">
        <v>99</v>
      </c>
      <c r="N80" s="515"/>
      <c r="O80" s="516"/>
      <c r="P80" s="517">
        <f>+H80</f>
        <v>2</v>
      </c>
      <c r="Q80" s="449"/>
      <c r="R80" s="504"/>
      <c r="S80" s="448"/>
    </row>
    <row r="81" spans="2:19" x14ac:dyDescent="0.25">
      <c r="B81" s="447"/>
      <c r="C81" s="503"/>
      <c r="D81" s="449"/>
      <c r="E81" s="468" t="s">
        <v>100</v>
      </c>
      <c r="F81" s="476"/>
      <c r="G81" s="470"/>
      <c r="H81" s="1159">
        <f>+ReferenciasP!C106</f>
        <v>8</v>
      </c>
      <c r="I81" s="1160"/>
      <c r="J81" s="449"/>
      <c r="K81" s="449"/>
      <c r="L81" s="449"/>
      <c r="M81" s="468" t="s">
        <v>100</v>
      </c>
      <c r="N81" s="515"/>
      <c r="O81" s="516"/>
      <c r="P81" s="517">
        <f>+H81</f>
        <v>8</v>
      </c>
      <c r="Q81" s="449"/>
      <c r="R81" s="504"/>
      <c r="S81" s="448"/>
    </row>
    <row r="82" spans="2:19" x14ac:dyDescent="0.25">
      <c r="B82" s="447"/>
      <c r="C82" s="503"/>
      <c r="D82" s="449"/>
      <c r="E82" s="518" t="s">
        <v>101</v>
      </c>
      <c r="F82" s="476"/>
      <c r="G82" s="470"/>
      <c r="H82" s="1159">
        <f>+ReferenciasP!C107</f>
        <v>1</v>
      </c>
      <c r="I82" s="1160"/>
      <c r="J82" s="449"/>
      <c r="K82" s="449"/>
      <c r="L82" s="449"/>
      <c r="M82" s="1163" t="s">
        <v>101</v>
      </c>
      <c r="N82" s="1164"/>
      <c r="O82" s="516"/>
      <c r="P82" s="517">
        <f>+H82</f>
        <v>1</v>
      </c>
      <c r="Q82" s="449"/>
      <c r="R82" s="504"/>
      <c r="S82" s="448"/>
    </row>
    <row r="83" spans="2:19" x14ac:dyDescent="0.25">
      <c r="B83" s="447"/>
      <c r="C83" s="503"/>
      <c r="D83" s="449"/>
      <c r="E83" s="519"/>
      <c r="F83" s="476"/>
      <c r="G83" s="449"/>
      <c r="H83" s="520"/>
      <c r="I83" s="520"/>
      <c r="J83" s="449"/>
      <c r="K83" s="449"/>
      <c r="L83" s="449"/>
      <c r="M83" s="449"/>
      <c r="N83" s="449"/>
      <c r="O83" s="449"/>
      <c r="P83" s="449"/>
      <c r="Q83" s="449"/>
      <c r="R83" s="504"/>
      <c r="S83" s="448"/>
    </row>
    <row r="84" spans="2:19" x14ac:dyDescent="0.25">
      <c r="B84" s="447"/>
      <c r="C84" s="503"/>
      <c r="D84" s="449"/>
      <c r="E84" s="521" t="s">
        <v>436</v>
      </c>
      <c r="F84" s="449"/>
      <c r="G84" s="449"/>
      <c r="H84" s="449"/>
      <c r="I84" s="449"/>
      <c r="J84" s="449"/>
      <c r="K84" s="449"/>
      <c r="L84" s="449"/>
      <c r="M84" s="449"/>
      <c r="N84" s="449"/>
      <c r="O84" s="449"/>
      <c r="P84" s="449"/>
      <c r="Q84" s="449"/>
      <c r="R84" s="504"/>
      <c r="S84" s="448"/>
    </row>
    <row r="85" spans="2:19" x14ac:dyDescent="0.25">
      <c r="B85" s="447"/>
      <c r="C85" s="503"/>
      <c r="D85" s="449"/>
      <c r="E85" s="449"/>
      <c r="F85" s="449"/>
      <c r="G85" s="449"/>
      <c r="H85" s="449"/>
      <c r="I85" s="449"/>
      <c r="J85" s="449"/>
      <c r="K85" s="449"/>
      <c r="L85" s="449"/>
      <c r="M85" s="449"/>
      <c r="N85" s="449"/>
      <c r="O85" s="449"/>
      <c r="P85" s="449"/>
      <c r="Q85" s="449"/>
      <c r="R85" s="504"/>
      <c r="S85" s="448"/>
    </row>
    <row r="86" spans="2:19" ht="45.75" customHeight="1" x14ac:dyDescent="0.25">
      <c r="B86" s="447"/>
      <c r="C86" s="503"/>
      <c r="D86" s="449"/>
      <c r="E86" s="1061" t="s">
        <v>136</v>
      </c>
      <c r="F86" s="1061"/>
      <c r="G86" s="1061"/>
      <c r="H86" s="1061"/>
      <c r="I86" s="1061"/>
      <c r="J86" s="1098" t="s">
        <v>458</v>
      </c>
      <c r="K86" s="1098"/>
      <c r="L86" s="1098"/>
      <c r="M86" s="522" t="s">
        <v>141</v>
      </c>
      <c r="N86" s="506" t="s">
        <v>134</v>
      </c>
      <c r="O86" s="506" t="s">
        <v>159</v>
      </c>
      <c r="P86" s="449"/>
      <c r="Q86" s="449"/>
      <c r="R86" s="504"/>
      <c r="S86" s="448"/>
    </row>
    <row r="87" spans="2:19" x14ac:dyDescent="0.25">
      <c r="B87" s="447"/>
      <c r="C87" s="503"/>
      <c r="D87" s="449"/>
      <c r="E87" s="1075" t="s">
        <v>128</v>
      </c>
      <c r="F87" s="1075"/>
      <c r="G87" s="1075"/>
      <c r="H87" s="1075"/>
      <c r="I87" s="1075"/>
      <c r="J87" s="1157"/>
      <c r="K87" s="1157"/>
      <c r="L87" s="1157"/>
      <c r="M87" s="523"/>
      <c r="N87" s="523"/>
      <c r="O87" s="523"/>
      <c r="P87" s="449"/>
      <c r="Q87" s="449"/>
      <c r="R87" s="504"/>
      <c r="S87" s="448"/>
    </row>
    <row r="88" spans="2:19" x14ac:dyDescent="0.25">
      <c r="B88" s="447"/>
      <c r="C88" s="503"/>
      <c r="D88" s="449"/>
      <c r="E88" s="1075" t="s">
        <v>129</v>
      </c>
      <c r="F88" s="1075"/>
      <c r="G88" s="1075"/>
      <c r="H88" s="1075"/>
      <c r="I88" s="1075"/>
      <c r="J88" s="1157"/>
      <c r="K88" s="1157"/>
      <c r="L88" s="1157"/>
      <c r="M88" s="523"/>
      <c r="N88" s="523"/>
      <c r="O88" s="523"/>
      <c r="P88" s="449"/>
      <c r="Q88" s="449"/>
      <c r="R88" s="504"/>
      <c r="S88" s="448"/>
    </row>
    <row r="89" spans="2:19" x14ac:dyDescent="0.25">
      <c r="B89" s="447"/>
      <c r="C89" s="503"/>
      <c r="D89" s="449"/>
      <c r="E89" s="1075" t="s">
        <v>130</v>
      </c>
      <c r="F89" s="1075"/>
      <c r="G89" s="1075"/>
      <c r="H89" s="1075"/>
      <c r="I89" s="1075"/>
      <c r="J89" s="1150"/>
      <c r="K89" s="1150"/>
      <c r="L89" s="1150"/>
      <c r="M89" s="524"/>
      <c r="N89" s="524"/>
      <c r="O89" s="524"/>
      <c r="P89" s="449"/>
      <c r="Q89" s="449"/>
      <c r="R89" s="504"/>
      <c r="S89" s="448"/>
    </row>
    <row r="90" spans="2:19" x14ac:dyDescent="0.25">
      <c r="B90" s="447"/>
      <c r="C90" s="503"/>
      <c r="D90" s="449"/>
      <c r="E90" s="1075" t="s">
        <v>131</v>
      </c>
      <c r="F90" s="1075"/>
      <c r="G90" s="1075"/>
      <c r="H90" s="1075"/>
      <c r="I90" s="1075"/>
      <c r="J90" s="1150"/>
      <c r="K90" s="1150"/>
      <c r="L90" s="1150"/>
      <c r="M90" s="524"/>
      <c r="N90" s="524"/>
      <c r="O90" s="524"/>
      <c r="P90" s="449"/>
      <c r="Q90" s="449"/>
      <c r="R90" s="504"/>
      <c r="S90" s="448"/>
    </row>
    <row r="91" spans="2:19" x14ac:dyDescent="0.25">
      <c r="B91" s="447"/>
      <c r="C91" s="503"/>
      <c r="D91" s="449"/>
      <c r="E91" s="1075" t="s">
        <v>132</v>
      </c>
      <c r="F91" s="1075"/>
      <c r="G91" s="1075"/>
      <c r="H91" s="1075"/>
      <c r="I91" s="1075"/>
      <c r="J91" s="1150"/>
      <c r="K91" s="1150"/>
      <c r="L91" s="1150"/>
      <c r="M91" s="524"/>
      <c r="N91" s="524"/>
      <c r="O91" s="524"/>
      <c r="P91" s="449"/>
      <c r="Q91" s="449"/>
      <c r="R91" s="504"/>
      <c r="S91" s="448"/>
    </row>
    <row r="92" spans="2:19" x14ac:dyDescent="0.25">
      <c r="B92" s="447"/>
      <c r="C92" s="503"/>
      <c r="D92" s="449"/>
      <c r="E92" s="1075" t="s">
        <v>133</v>
      </c>
      <c r="F92" s="1075"/>
      <c r="G92" s="1075"/>
      <c r="H92" s="1075"/>
      <c r="I92" s="1075"/>
      <c r="J92" s="1150"/>
      <c r="K92" s="1150"/>
      <c r="L92" s="1150"/>
      <c r="M92" s="524"/>
      <c r="N92" s="524"/>
      <c r="O92" s="524"/>
      <c r="P92" s="449"/>
      <c r="Q92" s="449"/>
      <c r="R92" s="504"/>
      <c r="S92" s="448"/>
    </row>
    <row r="93" spans="2:19" ht="15" customHeight="1" x14ac:dyDescent="0.25">
      <c r="B93" s="447"/>
      <c r="C93" s="503"/>
      <c r="D93" s="449"/>
      <c r="E93" s="1075" t="s">
        <v>135</v>
      </c>
      <c r="F93" s="1075"/>
      <c r="G93" s="1075"/>
      <c r="H93" s="1075"/>
      <c r="I93" s="1075"/>
      <c r="J93" s="1151"/>
      <c r="K93" s="1151"/>
      <c r="L93" s="1151"/>
      <c r="M93" s="525"/>
      <c r="N93" s="525"/>
      <c r="O93" s="525"/>
      <c r="P93" s="449"/>
      <c r="Q93" s="449"/>
      <c r="R93" s="504"/>
      <c r="S93" s="448"/>
    </row>
    <row r="94" spans="2:19" x14ac:dyDescent="0.25">
      <c r="B94" s="447"/>
      <c r="C94" s="503"/>
      <c r="D94" s="449"/>
      <c r="E94" s="449"/>
      <c r="F94" s="449"/>
      <c r="G94" s="449"/>
      <c r="H94" s="449"/>
      <c r="I94" s="449"/>
      <c r="J94" s="449"/>
      <c r="K94" s="449"/>
      <c r="L94" s="449"/>
      <c r="M94" s="449"/>
      <c r="N94" s="449"/>
      <c r="O94" s="449"/>
      <c r="P94" s="449"/>
      <c r="Q94" s="449"/>
      <c r="R94" s="504"/>
      <c r="S94" s="448"/>
    </row>
    <row r="95" spans="2:19" x14ac:dyDescent="0.25">
      <c r="B95" s="447"/>
      <c r="C95" s="503"/>
      <c r="D95" s="449"/>
      <c r="E95" s="1116" t="s">
        <v>503</v>
      </c>
      <c r="F95" s="1116"/>
      <c r="G95" s="1116"/>
      <c r="H95" s="1116"/>
      <c r="I95" s="1116"/>
      <c r="J95" s="1116"/>
      <c r="K95" s="1116"/>
      <c r="L95" s="1116"/>
      <c r="M95" s="1116"/>
      <c r="N95" s="1116"/>
      <c r="O95" s="1116"/>
      <c r="P95" s="1116"/>
      <c r="Q95" s="449"/>
      <c r="R95" s="504"/>
      <c r="S95" s="448"/>
    </row>
    <row r="96" spans="2:19" x14ac:dyDescent="0.25">
      <c r="B96" s="447"/>
      <c r="C96" s="503"/>
      <c r="D96" s="449"/>
      <c r="E96" s="449"/>
      <c r="F96" s="449"/>
      <c r="G96" s="449"/>
      <c r="H96" s="449"/>
      <c r="I96" s="449"/>
      <c r="J96" s="449"/>
      <c r="K96" s="449"/>
      <c r="L96" s="449"/>
      <c r="M96" s="449"/>
      <c r="N96" s="449"/>
      <c r="O96" s="449"/>
      <c r="P96" s="449"/>
      <c r="Q96" s="449"/>
      <c r="R96" s="504"/>
      <c r="S96" s="448"/>
    </row>
    <row r="97" spans="1:80" ht="43.5" customHeight="1" x14ac:dyDescent="0.25">
      <c r="B97" s="447"/>
      <c r="C97" s="503"/>
      <c r="D97" s="449"/>
      <c r="E97" s="449"/>
      <c r="F97" s="1101" t="s">
        <v>466</v>
      </c>
      <c r="G97" s="1103"/>
      <c r="H97" s="1103"/>
      <c r="I97" s="1102"/>
      <c r="J97" s="1109" t="s">
        <v>125</v>
      </c>
      <c r="K97" s="1152"/>
      <c r="L97" s="1110"/>
      <c r="M97" s="506" t="s">
        <v>424</v>
      </c>
      <c r="N97" s="506" t="s">
        <v>137</v>
      </c>
      <c r="O97" s="526"/>
      <c r="P97" s="449"/>
      <c r="Q97" s="449"/>
      <c r="R97" s="504"/>
      <c r="S97" s="448"/>
    </row>
    <row r="98" spans="1:80" s="536" customFormat="1" ht="30" customHeight="1" x14ac:dyDescent="0.25">
      <c r="A98" s="527"/>
      <c r="B98" s="528"/>
      <c r="C98" s="529"/>
      <c r="D98" s="530"/>
      <c r="E98" s="530"/>
      <c r="F98" s="531" t="s">
        <v>455</v>
      </c>
      <c r="G98" s="532"/>
      <c r="H98" s="532"/>
      <c r="I98" s="532"/>
      <c r="J98" s="1142"/>
      <c r="K98" s="1142"/>
      <c r="L98" s="1142"/>
      <c r="M98" s="533"/>
      <c r="N98" s="533"/>
      <c r="O98" s="530"/>
      <c r="P98" s="530"/>
      <c r="Q98" s="530"/>
      <c r="R98" s="534"/>
      <c r="S98" s="535"/>
      <c r="T98" s="527"/>
      <c r="U98" s="527"/>
      <c r="V98" s="527"/>
      <c r="W98" s="527"/>
      <c r="X98" s="527"/>
      <c r="Y98" s="527"/>
      <c r="Z98" s="527"/>
      <c r="AA98" s="527"/>
      <c r="AB98" s="527"/>
      <c r="AC98" s="527"/>
      <c r="AD98" s="527"/>
      <c r="AE98" s="527"/>
      <c r="AF98" s="527"/>
      <c r="AG98" s="527"/>
      <c r="AH98" s="527"/>
      <c r="AI98" s="527"/>
      <c r="AJ98" s="527"/>
      <c r="AK98" s="527"/>
      <c r="AL98" s="527"/>
      <c r="AM98" s="527"/>
      <c r="AN98" s="527"/>
      <c r="AO98" s="527"/>
      <c r="AP98" s="527"/>
      <c r="AQ98" s="527"/>
      <c r="AR98" s="527"/>
      <c r="AS98" s="527"/>
      <c r="AT98" s="527"/>
      <c r="AU98" s="527"/>
      <c r="AV98" s="527"/>
      <c r="AW98" s="527"/>
      <c r="AX98" s="527"/>
      <c r="AY98" s="527"/>
      <c r="AZ98" s="527"/>
      <c r="BA98" s="527"/>
      <c r="BB98" s="527"/>
      <c r="BC98" s="527"/>
      <c r="BD98" s="527"/>
      <c r="BE98" s="527"/>
      <c r="BF98" s="527"/>
      <c r="BG98" s="527"/>
      <c r="BH98" s="527"/>
      <c r="BI98" s="527"/>
      <c r="BJ98" s="527"/>
      <c r="BK98" s="527"/>
      <c r="BL98" s="527"/>
      <c r="BM98" s="527"/>
      <c r="BN98" s="527"/>
      <c r="BO98" s="527"/>
      <c r="BP98" s="527"/>
      <c r="BQ98" s="527"/>
      <c r="BR98" s="527"/>
      <c r="BS98" s="527"/>
      <c r="BT98" s="527"/>
      <c r="BU98" s="527"/>
      <c r="BV98" s="527"/>
      <c r="BW98" s="527"/>
      <c r="BX98" s="527"/>
      <c r="BY98" s="527"/>
      <c r="BZ98" s="527"/>
      <c r="CA98" s="527"/>
      <c r="CB98" s="527"/>
    </row>
    <row r="99" spans="1:80" s="536" customFormat="1" ht="30" customHeight="1" x14ac:dyDescent="0.25">
      <c r="A99" s="527"/>
      <c r="B99" s="528"/>
      <c r="C99" s="529"/>
      <c r="D99" s="530"/>
      <c r="E99" s="530"/>
      <c r="F99" s="531" t="s">
        <v>140</v>
      </c>
      <c r="G99" s="532"/>
      <c r="H99" s="532"/>
      <c r="I99" s="532"/>
      <c r="J99" s="1142"/>
      <c r="K99" s="1142"/>
      <c r="L99" s="1142"/>
      <c r="M99" s="533"/>
      <c r="N99" s="533"/>
      <c r="O99" s="530"/>
      <c r="P99" s="530"/>
      <c r="Q99" s="530"/>
      <c r="R99" s="534"/>
      <c r="S99" s="535"/>
      <c r="T99" s="527"/>
      <c r="U99" s="527"/>
      <c r="V99" s="527"/>
      <c r="W99" s="527"/>
      <c r="X99" s="527"/>
      <c r="Y99" s="527"/>
      <c r="Z99" s="527"/>
      <c r="AA99" s="527"/>
      <c r="AB99" s="527"/>
      <c r="AC99" s="527"/>
      <c r="AD99" s="527"/>
      <c r="AE99" s="527"/>
      <c r="AF99" s="527"/>
      <c r="AG99" s="527"/>
      <c r="AH99" s="527"/>
      <c r="AI99" s="527"/>
      <c r="AJ99" s="527"/>
      <c r="AK99" s="527"/>
      <c r="AL99" s="527"/>
      <c r="AM99" s="527"/>
      <c r="AN99" s="527"/>
      <c r="AO99" s="527"/>
      <c r="AP99" s="527"/>
      <c r="AQ99" s="527"/>
      <c r="AR99" s="527"/>
      <c r="AS99" s="527"/>
      <c r="AT99" s="527"/>
      <c r="AU99" s="527"/>
      <c r="AV99" s="527"/>
      <c r="AW99" s="527"/>
      <c r="AX99" s="527"/>
      <c r="AY99" s="527"/>
      <c r="AZ99" s="527"/>
      <c r="BA99" s="527"/>
      <c r="BB99" s="527"/>
      <c r="BC99" s="527"/>
      <c r="BD99" s="527"/>
      <c r="BE99" s="527"/>
      <c r="BF99" s="527"/>
      <c r="BG99" s="527"/>
      <c r="BH99" s="527"/>
      <c r="BI99" s="527"/>
      <c r="BJ99" s="527"/>
      <c r="BK99" s="527"/>
      <c r="BL99" s="527"/>
      <c r="BM99" s="527"/>
      <c r="BN99" s="527"/>
      <c r="BO99" s="527"/>
      <c r="BP99" s="527"/>
      <c r="BQ99" s="527"/>
      <c r="BR99" s="527"/>
      <c r="BS99" s="527"/>
      <c r="BT99" s="527"/>
      <c r="BU99" s="527"/>
      <c r="BV99" s="527"/>
      <c r="BW99" s="527"/>
      <c r="BX99" s="527"/>
      <c r="BY99" s="527"/>
      <c r="BZ99" s="527"/>
      <c r="CA99" s="527"/>
      <c r="CB99" s="527"/>
    </row>
    <row r="100" spans="1:80" s="536" customFormat="1" ht="30" customHeight="1" x14ac:dyDescent="0.25">
      <c r="A100" s="527"/>
      <c r="B100" s="528"/>
      <c r="C100" s="529"/>
      <c r="D100" s="530"/>
      <c r="E100" s="530"/>
      <c r="F100" s="531" t="s">
        <v>134</v>
      </c>
      <c r="G100" s="532"/>
      <c r="H100" s="532"/>
      <c r="I100" s="532"/>
      <c r="J100" s="1142"/>
      <c r="K100" s="1142"/>
      <c r="L100" s="1142"/>
      <c r="M100" s="533"/>
      <c r="N100" s="533"/>
      <c r="O100" s="530"/>
      <c r="P100" s="530"/>
      <c r="Q100" s="530"/>
      <c r="R100" s="534"/>
      <c r="S100" s="535"/>
      <c r="T100" s="527"/>
      <c r="U100" s="527"/>
      <c r="V100" s="527"/>
      <c r="W100" s="527"/>
      <c r="X100" s="527"/>
      <c r="Y100" s="527"/>
      <c r="Z100" s="527"/>
      <c r="AA100" s="527"/>
      <c r="AB100" s="527"/>
      <c r="AC100" s="527"/>
      <c r="AD100" s="527"/>
      <c r="AE100" s="527"/>
      <c r="AF100" s="527"/>
      <c r="AG100" s="527"/>
      <c r="AH100" s="527"/>
      <c r="AI100" s="527"/>
      <c r="AJ100" s="527"/>
      <c r="AK100" s="527"/>
      <c r="AL100" s="527"/>
      <c r="AM100" s="527"/>
      <c r="AN100" s="527"/>
      <c r="AO100" s="527"/>
      <c r="AP100" s="527"/>
      <c r="AQ100" s="527"/>
      <c r="AR100" s="527"/>
      <c r="AS100" s="527"/>
      <c r="AT100" s="527"/>
      <c r="AU100" s="527"/>
      <c r="AV100" s="527"/>
      <c r="AW100" s="527"/>
      <c r="AX100" s="527"/>
      <c r="AY100" s="527"/>
      <c r="AZ100" s="527"/>
      <c r="BA100" s="527"/>
      <c r="BB100" s="527"/>
      <c r="BC100" s="527"/>
      <c r="BD100" s="527"/>
      <c r="BE100" s="527"/>
      <c r="BF100" s="527"/>
      <c r="BG100" s="527"/>
      <c r="BH100" s="527"/>
      <c r="BI100" s="527"/>
      <c r="BJ100" s="527"/>
      <c r="BK100" s="527"/>
      <c r="BL100" s="527"/>
      <c r="BM100" s="527"/>
      <c r="BN100" s="527"/>
      <c r="BO100" s="527"/>
      <c r="BP100" s="527"/>
      <c r="BQ100" s="527"/>
      <c r="BR100" s="527"/>
      <c r="BS100" s="527"/>
      <c r="BT100" s="527"/>
      <c r="BU100" s="527"/>
      <c r="BV100" s="527"/>
      <c r="BW100" s="527"/>
      <c r="BX100" s="527"/>
      <c r="BY100" s="527"/>
      <c r="BZ100" s="527"/>
      <c r="CA100" s="527"/>
      <c r="CB100" s="527"/>
    </row>
    <row r="101" spans="1:80" s="536" customFormat="1" ht="30" customHeight="1" x14ac:dyDescent="0.25">
      <c r="A101" s="527"/>
      <c r="B101" s="528"/>
      <c r="C101" s="529"/>
      <c r="D101" s="530"/>
      <c r="E101" s="530"/>
      <c r="F101" s="531" t="s">
        <v>159</v>
      </c>
      <c r="G101" s="532"/>
      <c r="H101" s="532"/>
      <c r="I101" s="532"/>
      <c r="J101" s="1142"/>
      <c r="K101" s="1142"/>
      <c r="L101" s="1142"/>
      <c r="M101" s="533"/>
      <c r="N101" s="533"/>
      <c r="O101" s="530"/>
      <c r="P101" s="530"/>
      <c r="Q101" s="530"/>
      <c r="R101" s="534"/>
      <c r="S101" s="535"/>
      <c r="T101" s="527"/>
      <c r="U101" s="527"/>
      <c r="V101" s="527"/>
      <c r="W101" s="527"/>
      <c r="X101" s="527"/>
      <c r="Y101" s="527"/>
      <c r="Z101" s="527"/>
      <c r="AA101" s="527"/>
      <c r="AB101" s="527"/>
      <c r="AC101" s="527"/>
      <c r="AD101" s="527"/>
      <c r="AE101" s="527"/>
      <c r="AF101" s="527"/>
      <c r="AG101" s="527"/>
      <c r="AH101" s="527"/>
      <c r="AI101" s="527"/>
      <c r="AJ101" s="527"/>
      <c r="AK101" s="527"/>
      <c r="AL101" s="527"/>
      <c r="AM101" s="527"/>
      <c r="AN101" s="527"/>
      <c r="AO101" s="527"/>
      <c r="AP101" s="527"/>
      <c r="AQ101" s="527"/>
      <c r="AR101" s="527"/>
      <c r="AS101" s="527"/>
      <c r="AT101" s="527"/>
      <c r="AU101" s="527"/>
      <c r="AV101" s="527"/>
      <c r="AW101" s="527"/>
      <c r="AX101" s="527"/>
      <c r="AY101" s="527"/>
      <c r="AZ101" s="527"/>
      <c r="BA101" s="527"/>
      <c r="BB101" s="527"/>
      <c r="BC101" s="527"/>
      <c r="BD101" s="527"/>
      <c r="BE101" s="527"/>
      <c r="BF101" s="527"/>
      <c r="BG101" s="527"/>
      <c r="BH101" s="527"/>
      <c r="BI101" s="527"/>
      <c r="BJ101" s="527"/>
      <c r="BK101" s="527"/>
      <c r="BL101" s="527"/>
      <c r="BM101" s="527"/>
      <c r="BN101" s="527"/>
      <c r="BO101" s="527"/>
      <c r="BP101" s="527"/>
      <c r="BQ101" s="527"/>
      <c r="BR101" s="527"/>
      <c r="BS101" s="527"/>
      <c r="BT101" s="527"/>
      <c r="BU101" s="527"/>
      <c r="BV101" s="527"/>
      <c r="BW101" s="527"/>
      <c r="BX101" s="527"/>
      <c r="BY101" s="527"/>
      <c r="BZ101" s="527"/>
      <c r="CA101" s="527"/>
      <c r="CB101" s="527"/>
    </row>
    <row r="102" spans="1:80" x14ac:dyDescent="0.25">
      <c r="B102" s="447"/>
      <c r="C102" s="510"/>
      <c r="D102" s="511"/>
      <c r="E102" s="511"/>
      <c r="F102" s="511"/>
      <c r="G102" s="1106"/>
      <c r="H102" s="1106"/>
      <c r="I102" s="1106"/>
      <c r="J102" s="1106"/>
      <c r="K102" s="1106"/>
      <c r="L102" s="1106"/>
      <c r="M102" s="511"/>
      <c r="N102" s="511"/>
      <c r="O102" s="511"/>
      <c r="P102" s="511"/>
      <c r="Q102" s="511"/>
      <c r="R102" s="512"/>
      <c r="S102" s="448"/>
    </row>
    <row r="103" spans="1:80" x14ac:dyDescent="0.25">
      <c r="B103" s="447"/>
      <c r="C103" s="449"/>
      <c r="D103" s="449"/>
      <c r="E103" s="449"/>
      <c r="F103" s="449"/>
      <c r="G103" s="1141"/>
      <c r="H103" s="1141"/>
      <c r="I103" s="1141"/>
      <c r="J103" s="1141"/>
      <c r="K103" s="1141"/>
      <c r="L103" s="1141"/>
      <c r="M103" s="449"/>
      <c r="N103" s="449"/>
      <c r="O103" s="449"/>
      <c r="P103" s="449"/>
      <c r="Q103" s="449"/>
      <c r="R103" s="449"/>
      <c r="S103" s="448"/>
    </row>
    <row r="104" spans="1:80" x14ac:dyDescent="0.25">
      <c r="B104" s="447"/>
      <c r="C104" s="449"/>
      <c r="D104" s="449"/>
      <c r="E104" s="449"/>
      <c r="F104" s="449"/>
      <c r="G104" s="449"/>
      <c r="H104" s="449"/>
      <c r="I104" s="449"/>
      <c r="J104" s="449"/>
      <c r="K104" s="449"/>
      <c r="L104" s="449"/>
      <c r="M104" s="449"/>
      <c r="N104" s="449"/>
      <c r="O104" s="449"/>
      <c r="P104" s="449"/>
      <c r="Q104" s="449"/>
      <c r="R104" s="449"/>
      <c r="S104" s="448"/>
    </row>
    <row r="105" spans="1:80" x14ac:dyDescent="0.25">
      <c r="B105" s="447"/>
      <c r="C105" s="500"/>
      <c r="D105" s="501"/>
      <c r="E105" s="501"/>
      <c r="F105" s="501"/>
      <c r="G105" s="501"/>
      <c r="H105" s="501"/>
      <c r="I105" s="501"/>
      <c r="J105" s="501"/>
      <c r="K105" s="501"/>
      <c r="L105" s="501"/>
      <c r="M105" s="501"/>
      <c r="N105" s="501"/>
      <c r="O105" s="501"/>
      <c r="P105" s="501"/>
      <c r="Q105" s="501"/>
      <c r="R105" s="502"/>
      <c r="S105" s="448"/>
    </row>
    <row r="106" spans="1:80" ht="18.75" x14ac:dyDescent="0.25">
      <c r="B106" s="447"/>
      <c r="C106" s="503"/>
      <c r="D106" s="449"/>
      <c r="E106" s="1088" t="s">
        <v>144</v>
      </c>
      <c r="F106" s="1089"/>
      <c r="G106" s="1089"/>
      <c r="H106" s="1089"/>
      <c r="I106" s="1089"/>
      <c r="J106" s="1089"/>
      <c r="K106" s="1089"/>
      <c r="L106" s="1089"/>
      <c r="M106" s="1089"/>
      <c r="N106" s="1089"/>
      <c r="O106" s="1089"/>
      <c r="P106" s="1090"/>
      <c r="Q106" s="513"/>
      <c r="R106" s="504"/>
      <c r="S106" s="448"/>
    </row>
    <row r="107" spans="1:80" x14ac:dyDescent="0.25">
      <c r="B107" s="447"/>
      <c r="C107" s="503"/>
      <c r="D107" s="449"/>
      <c r="E107" s="449"/>
      <c r="F107" s="449"/>
      <c r="G107" s="449"/>
      <c r="H107" s="449"/>
      <c r="I107" s="449"/>
      <c r="J107" s="449"/>
      <c r="K107" s="449"/>
      <c r="L107" s="449"/>
      <c r="M107" s="449"/>
      <c r="N107" s="449"/>
      <c r="O107" s="449"/>
      <c r="P107" s="449"/>
      <c r="Q107" s="449"/>
      <c r="R107" s="504"/>
      <c r="S107" s="448"/>
    </row>
    <row r="108" spans="1:80" x14ac:dyDescent="0.25">
      <c r="B108" s="447"/>
      <c r="C108" s="503"/>
      <c r="D108" s="449"/>
      <c r="E108" s="449" t="s">
        <v>504</v>
      </c>
      <c r="F108" s="449"/>
      <c r="G108" s="449"/>
      <c r="H108" s="449"/>
      <c r="I108" s="449"/>
      <c r="J108" s="449"/>
      <c r="K108" s="449"/>
      <c r="L108" s="449"/>
      <c r="M108" s="449"/>
      <c r="N108" s="449"/>
      <c r="O108" s="449"/>
      <c r="P108" s="449"/>
      <c r="Q108" s="449"/>
      <c r="R108" s="504"/>
      <c r="S108" s="448"/>
    </row>
    <row r="109" spans="1:80" x14ac:dyDescent="0.25">
      <c r="B109" s="447"/>
      <c r="C109" s="503"/>
      <c r="D109" s="449"/>
      <c r="E109" s="449"/>
      <c r="F109" s="449"/>
      <c r="G109" s="449"/>
      <c r="H109" s="449"/>
      <c r="I109" s="449"/>
      <c r="J109" s="449"/>
      <c r="K109" s="449"/>
      <c r="L109" s="449"/>
      <c r="M109" s="449"/>
      <c r="N109" s="449"/>
      <c r="O109" s="449"/>
      <c r="P109" s="449"/>
      <c r="Q109" s="449"/>
      <c r="R109" s="504"/>
      <c r="S109" s="448"/>
    </row>
    <row r="110" spans="1:80" x14ac:dyDescent="0.25">
      <c r="B110" s="447"/>
      <c r="C110" s="503"/>
      <c r="D110" s="449"/>
      <c r="E110" s="449"/>
      <c r="F110" s="1127" t="str">
        <f>+CONCATENATE("Valores para"," ",G24)</f>
        <v>Valores para Vehículo motorizado mediano</v>
      </c>
      <c r="G110" s="1127"/>
      <c r="H110" s="1127"/>
      <c r="I110" s="1127"/>
      <c r="J110" s="1127"/>
      <c r="K110" s="1127"/>
      <c r="L110" s="1127"/>
      <c r="M110" s="1127"/>
      <c r="N110" s="1127"/>
      <c r="O110" s="1127"/>
      <c r="P110" s="449"/>
      <c r="Q110" s="449"/>
      <c r="R110" s="504"/>
      <c r="S110" s="448"/>
    </row>
    <row r="111" spans="1:80" ht="43.5" customHeight="1" x14ac:dyDescent="0.25">
      <c r="B111" s="447"/>
      <c r="C111" s="503"/>
      <c r="D111" s="449"/>
      <c r="E111" s="449"/>
      <c r="F111" s="1101" t="s">
        <v>83</v>
      </c>
      <c r="G111" s="1102"/>
      <c r="H111" s="1101" t="s">
        <v>139</v>
      </c>
      <c r="I111" s="1102"/>
      <c r="J111" s="1101" t="s">
        <v>281</v>
      </c>
      <c r="K111" s="1103"/>
      <c r="L111" s="1102"/>
      <c r="M111" s="506" t="s">
        <v>125</v>
      </c>
      <c r="N111" s="506" t="s">
        <v>424</v>
      </c>
      <c r="O111" s="506" t="s">
        <v>137</v>
      </c>
      <c r="P111" s="449"/>
      <c r="Q111" s="449"/>
      <c r="R111" s="504"/>
      <c r="S111" s="448"/>
    </row>
    <row r="112" spans="1:80" ht="43.5" customHeight="1" x14ac:dyDescent="0.25">
      <c r="B112" s="447"/>
      <c r="C112" s="503"/>
      <c r="D112" s="449"/>
      <c r="E112" s="449"/>
      <c r="F112" s="1131" t="s">
        <v>459</v>
      </c>
      <c r="G112" s="1132"/>
      <c r="H112" s="1133"/>
      <c r="I112" s="1133"/>
      <c r="J112" s="1134" t="s">
        <v>237</v>
      </c>
      <c r="K112" s="1135"/>
      <c r="L112" s="1136"/>
      <c r="M112" s="537"/>
      <c r="N112" s="537"/>
      <c r="O112" s="537"/>
      <c r="P112" s="449"/>
      <c r="Q112" s="449"/>
      <c r="R112" s="504"/>
      <c r="S112" s="448"/>
    </row>
    <row r="113" spans="2:19" ht="45" customHeight="1" x14ac:dyDescent="0.25">
      <c r="B113" s="447"/>
      <c r="C113" s="503"/>
      <c r="D113" s="449"/>
      <c r="E113" s="449"/>
      <c r="F113" s="1137" t="s">
        <v>733</v>
      </c>
      <c r="G113" s="1132"/>
      <c r="H113" s="1133"/>
      <c r="I113" s="1133"/>
      <c r="J113" s="1138">
        <f>IFERROR(IF(G24="Equipo de tracción manual",ReferenciasP!C97*('C.PrestadorRef'!G42)/12,8%*(IF('C.PrestadorRef'!F40&gt;0,'C.PrestadorRef'!G40,0)+IF('C.PrestadorRef'!F41&gt;0,'C.PrestadorRef'!G41,0))/12),0)</f>
        <v>0</v>
      </c>
      <c r="K113" s="1139"/>
      <c r="L113" s="1140"/>
      <c r="M113" s="537"/>
      <c r="N113" s="537"/>
      <c r="O113" s="537"/>
      <c r="P113" s="449"/>
      <c r="Q113" s="449"/>
      <c r="R113" s="504"/>
      <c r="S113" s="448"/>
    </row>
    <row r="114" spans="2:19" ht="37.5" customHeight="1" x14ac:dyDescent="0.25">
      <c r="B114" s="447"/>
      <c r="C114" s="503"/>
      <c r="D114" s="449"/>
      <c r="E114" s="449"/>
      <c r="F114" s="449"/>
      <c r="G114" s="449"/>
      <c r="H114" s="449"/>
      <c r="I114" s="449"/>
      <c r="J114" s="449"/>
      <c r="K114" s="449"/>
      <c r="L114" s="449"/>
      <c r="M114" s="449"/>
      <c r="N114" s="449"/>
      <c r="O114" s="449"/>
      <c r="P114" s="449"/>
      <c r="Q114" s="449"/>
      <c r="R114" s="504"/>
      <c r="S114" s="448"/>
    </row>
    <row r="115" spans="2:19" x14ac:dyDescent="0.25">
      <c r="B115" s="447"/>
      <c r="C115" s="503"/>
      <c r="D115" s="449"/>
      <c r="E115" s="449"/>
      <c r="F115" s="1127" t="str">
        <f>+IF(G19="Combinación de equipo de tracción manual con camión",CONCATENATE("Valores para"," ",O24),"No diligenciar")</f>
        <v>Valores para Equipo de tracción manual</v>
      </c>
      <c r="G115" s="1127"/>
      <c r="H115" s="1127"/>
      <c r="I115" s="1127"/>
      <c r="J115" s="1127"/>
      <c r="K115" s="1127"/>
      <c r="L115" s="1127"/>
      <c r="M115" s="1127"/>
      <c r="N115" s="1127"/>
      <c r="O115" s="1127"/>
      <c r="P115" s="449"/>
      <c r="Q115" s="449"/>
      <c r="R115" s="504"/>
      <c r="S115" s="448"/>
    </row>
    <row r="116" spans="2:19" ht="48" customHeight="1" x14ac:dyDescent="0.25">
      <c r="B116" s="447"/>
      <c r="C116" s="503"/>
      <c r="D116" s="449"/>
      <c r="E116" s="449"/>
      <c r="F116" s="1107" t="s">
        <v>83</v>
      </c>
      <c r="G116" s="1108"/>
      <c r="H116" s="1098" t="s">
        <v>139</v>
      </c>
      <c r="I116" s="1098"/>
      <c r="J116" s="1098" t="s">
        <v>281</v>
      </c>
      <c r="K116" s="1098"/>
      <c r="L116" s="1098"/>
      <c r="M116" s="506" t="s">
        <v>125</v>
      </c>
      <c r="N116" s="506" t="s">
        <v>424</v>
      </c>
      <c r="O116" s="506" t="s">
        <v>137</v>
      </c>
      <c r="P116" s="449"/>
      <c r="Q116" s="449"/>
      <c r="R116" s="504"/>
      <c r="S116" s="448"/>
    </row>
    <row r="117" spans="2:19" ht="37.5" customHeight="1" x14ac:dyDescent="0.25">
      <c r="B117" s="447"/>
      <c r="C117" s="503"/>
      <c r="D117" s="449"/>
      <c r="E117" s="449"/>
      <c r="F117" s="1128" t="s">
        <v>733</v>
      </c>
      <c r="G117" s="1129"/>
      <c r="H117" s="1130"/>
      <c r="I117" s="1130"/>
      <c r="J117" s="1123">
        <f>IFERROR(IF(G24="Equipo de tracción manual",0,8%*('C.PrestadorRef'!G42)/12),0)</f>
        <v>2.4300834612164732</v>
      </c>
      <c r="K117" s="1123"/>
      <c r="L117" s="1123"/>
      <c r="M117" s="537"/>
      <c r="N117" s="537"/>
      <c r="O117" s="537"/>
      <c r="P117" s="449"/>
      <c r="Q117" s="449"/>
      <c r="R117" s="504"/>
      <c r="S117" s="448"/>
    </row>
    <row r="118" spans="2:19" ht="37.5" customHeight="1" x14ac:dyDescent="0.25">
      <c r="B118" s="447"/>
      <c r="C118" s="503"/>
      <c r="D118" s="449"/>
      <c r="E118" s="449"/>
      <c r="F118" s="449"/>
      <c r="G118" s="449"/>
      <c r="H118" s="449"/>
      <c r="I118" s="449"/>
      <c r="J118" s="449"/>
      <c r="K118" s="449"/>
      <c r="L118" s="449"/>
      <c r="M118" s="449"/>
      <c r="N118" s="449"/>
      <c r="O118" s="449"/>
      <c r="P118" s="449"/>
      <c r="Q118" s="449"/>
      <c r="R118" s="504"/>
      <c r="S118" s="448"/>
    </row>
    <row r="119" spans="2:19" x14ac:dyDescent="0.25">
      <c r="B119" s="447"/>
      <c r="C119" s="510"/>
      <c r="D119" s="511"/>
      <c r="E119" s="511"/>
      <c r="F119" s="511"/>
      <c r="G119" s="511"/>
      <c r="H119" s="511"/>
      <c r="I119" s="511"/>
      <c r="J119" s="511"/>
      <c r="K119" s="511"/>
      <c r="L119" s="511"/>
      <c r="M119" s="511"/>
      <c r="N119" s="511"/>
      <c r="O119" s="511"/>
      <c r="P119" s="511"/>
      <c r="Q119" s="511"/>
      <c r="R119" s="512"/>
      <c r="S119" s="448"/>
    </row>
    <row r="120" spans="2:19" x14ac:dyDescent="0.25">
      <c r="B120" s="447"/>
      <c r="C120" s="449"/>
      <c r="D120" s="449"/>
      <c r="E120" s="449"/>
      <c r="F120" s="449"/>
      <c r="G120" s="449"/>
      <c r="H120" s="449"/>
      <c r="I120" s="449"/>
      <c r="J120" s="449"/>
      <c r="K120" s="449"/>
      <c r="L120" s="449"/>
      <c r="M120" s="449"/>
      <c r="N120" s="449"/>
      <c r="O120" s="449"/>
      <c r="P120" s="449"/>
      <c r="Q120" s="449"/>
      <c r="R120" s="449"/>
      <c r="S120" s="448"/>
    </row>
    <row r="121" spans="2:19" x14ac:dyDescent="0.25">
      <c r="B121" s="447"/>
      <c r="C121" s="500"/>
      <c r="D121" s="501"/>
      <c r="E121" s="501"/>
      <c r="F121" s="501"/>
      <c r="G121" s="501"/>
      <c r="H121" s="501"/>
      <c r="I121" s="501"/>
      <c r="J121" s="501"/>
      <c r="K121" s="501"/>
      <c r="L121" s="501"/>
      <c r="M121" s="501"/>
      <c r="N121" s="501"/>
      <c r="O121" s="501"/>
      <c r="P121" s="501"/>
      <c r="Q121" s="501"/>
      <c r="R121" s="502"/>
      <c r="S121" s="448"/>
    </row>
    <row r="122" spans="2:19" ht="18.75" x14ac:dyDescent="0.25">
      <c r="B122" s="447"/>
      <c r="C122" s="503"/>
      <c r="D122" s="449"/>
      <c r="E122" s="1088" t="s">
        <v>143</v>
      </c>
      <c r="F122" s="1089"/>
      <c r="G122" s="1089"/>
      <c r="H122" s="1089"/>
      <c r="I122" s="1089"/>
      <c r="J122" s="1089"/>
      <c r="K122" s="1089"/>
      <c r="L122" s="1089"/>
      <c r="M122" s="1089"/>
      <c r="N122" s="1089"/>
      <c r="O122" s="1089"/>
      <c r="P122" s="1090"/>
      <c r="Q122" s="449"/>
      <c r="R122" s="504"/>
      <c r="S122" s="448"/>
    </row>
    <row r="123" spans="2:19" ht="22.5" customHeight="1" x14ac:dyDescent="0.25">
      <c r="B123" s="447"/>
      <c r="C123" s="503"/>
      <c r="D123" s="449"/>
      <c r="E123" s="521" t="s">
        <v>512</v>
      </c>
      <c r="F123" s="449"/>
      <c r="G123" s="449"/>
      <c r="H123" s="449"/>
      <c r="I123" s="449"/>
      <c r="J123" s="449"/>
      <c r="K123" s="449"/>
      <c r="L123" s="449"/>
      <c r="M123" s="449"/>
      <c r="N123" s="449"/>
      <c r="O123" s="449"/>
      <c r="P123" s="449"/>
      <c r="Q123" s="513"/>
      <c r="R123" s="504"/>
      <c r="S123" s="448"/>
    </row>
    <row r="124" spans="2:19" ht="15" customHeight="1" x14ac:dyDescent="0.25">
      <c r="B124" s="447"/>
      <c r="C124" s="503"/>
      <c r="D124" s="449"/>
      <c r="E124" s="449"/>
      <c r="F124" s="449"/>
      <c r="G124" s="449"/>
      <c r="H124" s="449"/>
      <c r="I124" s="449"/>
      <c r="J124" s="449"/>
      <c r="K124" s="449"/>
      <c r="L124" s="449"/>
      <c r="M124" s="449"/>
      <c r="N124" s="449"/>
      <c r="O124" s="449"/>
      <c r="P124" s="449"/>
      <c r="Q124" s="449"/>
      <c r="R124" s="504"/>
      <c r="S124" s="448"/>
    </row>
    <row r="125" spans="2:19" ht="43.5" customHeight="1" x14ac:dyDescent="0.25">
      <c r="B125" s="447"/>
      <c r="C125" s="503"/>
      <c r="D125" s="449"/>
      <c r="E125" s="449"/>
      <c r="F125" s="1098" t="s">
        <v>83</v>
      </c>
      <c r="G125" s="1098"/>
      <c r="H125" s="921" t="s">
        <v>738</v>
      </c>
      <c r="I125" s="1098"/>
      <c r="J125" s="1126" t="s">
        <v>146</v>
      </c>
      <c r="K125" s="1126"/>
      <c r="L125" s="1126"/>
      <c r="M125" s="506" t="s">
        <v>125</v>
      </c>
      <c r="N125" s="506" t="s">
        <v>424</v>
      </c>
      <c r="O125" s="506" t="s">
        <v>137</v>
      </c>
      <c r="P125" s="449"/>
      <c r="Q125" s="449"/>
      <c r="R125" s="504"/>
      <c r="S125" s="448"/>
    </row>
    <row r="126" spans="2:19" ht="17.25" customHeight="1" x14ac:dyDescent="0.25">
      <c r="B126" s="447"/>
      <c r="C126" s="503"/>
      <c r="D126" s="449"/>
      <c r="E126" s="449"/>
      <c r="F126" s="1005" t="s">
        <v>735</v>
      </c>
      <c r="G126" s="1120"/>
      <c r="H126" s="1121"/>
      <c r="I126" s="1122"/>
      <c r="J126" s="1123">
        <f>+IFERROR(HLOOKUP("Vehículo motorizado pequeño",ReferenciasP!$C$76:$G$99,21,0)*'C.Prestador'!G40,0)</f>
        <v>72.902503836494304</v>
      </c>
      <c r="K126" s="1123"/>
      <c r="L126" s="1123"/>
      <c r="M126" s="537"/>
      <c r="N126" s="514"/>
      <c r="O126" s="514"/>
      <c r="P126" s="449"/>
      <c r="Q126" s="449"/>
      <c r="R126" s="504"/>
      <c r="S126" s="448"/>
    </row>
    <row r="127" spans="2:19" ht="17.25" customHeight="1" x14ac:dyDescent="0.25">
      <c r="B127" s="447"/>
      <c r="C127" s="503"/>
      <c r="D127" s="449"/>
      <c r="E127" s="449"/>
      <c r="F127" s="1005" t="s">
        <v>739</v>
      </c>
      <c r="G127" s="1120"/>
      <c r="H127" s="1121"/>
      <c r="I127" s="1122"/>
      <c r="J127" s="1123">
        <f>+IFERROR(HLOOKUP("Vehículo motorizado mediano",ReferenciasP!$C$76:$G$99,21,0)*'C.Prestador'!G41,0)</f>
        <v>291.61001534597699</v>
      </c>
      <c r="K127" s="1123"/>
      <c r="L127" s="1123"/>
      <c r="M127" s="537"/>
      <c r="N127" s="514"/>
      <c r="O127" s="514"/>
      <c r="P127" s="449"/>
      <c r="Q127" s="449"/>
      <c r="R127" s="504"/>
      <c r="S127" s="448"/>
    </row>
    <row r="128" spans="2:19" ht="17.25" customHeight="1" x14ac:dyDescent="0.25">
      <c r="B128" s="447"/>
      <c r="C128" s="503"/>
      <c r="D128" s="449"/>
      <c r="E128" s="449"/>
      <c r="F128" s="1005" t="s">
        <v>736</v>
      </c>
      <c r="G128" s="1120"/>
      <c r="H128" s="1121"/>
      <c r="I128" s="1122"/>
      <c r="J128" s="1123">
        <f>+IFERROR(HLOOKUP("Equipo de tracción manual",ReferenciasP!$C$76:$G$99,21,0)*'C.Prestador'!G42,0)</f>
        <v>3.6451251918247101</v>
      </c>
      <c r="K128" s="1123"/>
      <c r="L128" s="1123"/>
      <c r="M128" s="537"/>
      <c r="N128" s="514"/>
      <c r="O128" s="514"/>
      <c r="P128" s="449"/>
      <c r="Q128" s="449"/>
      <c r="R128" s="504"/>
      <c r="S128" s="448"/>
    </row>
    <row r="129" spans="2:19" ht="17.25" customHeight="1" x14ac:dyDescent="0.25">
      <c r="B129" s="447"/>
      <c r="C129" s="503"/>
      <c r="D129" s="449"/>
      <c r="E129" s="449"/>
      <c r="F129" s="1005" t="s">
        <v>737</v>
      </c>
      <c r="G129" s="1120"/>
      <c r="H129" s="1121"/>
      <c r="I129" s="1122"/>
      <c r="J129" s="1123">
        <f>+IFERROR(HLOOKUP("Contenedores",ReferenciasP!$C$76:$G$99,21,0)*'C.Prestador'!G43,0)</f>
        <v>0</v>
      </c>
      <c r="K129" s="1123"/>
      <c r="L129" s="1123"/>
      <c r="M129" s="537"/>
      <c r="N129" s="514"/>
      <c r="O129" s="514"/>
      <c r="P129" s="449"/>
      <c r="Q129" s="449"/>
      <c r="R129" s="504"/>
      <c r="S129" s="448"/>
    </row>
    <row r="130" spans="2:19" x14ac:dyDescent="0.25">
      <c r="B130" s="447"/>
      <c r="C130" s="510"/>
      <c r="D130" s="511"/>
      <c r="E130" s="511"/>
      <c r="F130" s="511"/>
      <c r="G130" s="511"/>
      <c r="H130" s="511"/>
      <c r="I130" s="511"/>
      <c r="J130" s="511"/>
      <c r="K130" s="511"/>
      <c r="L130" s="511"/>
      <c r="M130" s="511"/>
      <c r="N130" s="511"/>
      <c r="O130" s="511"/>
      <c r="P130" s="511"/>
      <c r="Q130" s="511"/>
      <c r="R130" s="512"/>
      <c r="S130" s="448"/>
    </row>
    <row r="131" spans="2:19" ht="22.5" customHeight="1" thickBot="1" x14ac:dyDescent="0.3">
      <c r="B131" s="538"/>
      <c r="C131" s="539"/>
      <c r="D131" s="539"/>
      <c r="E131" s="539"/>
      <c r="F131" s="539"/>
      <c r="G131" s="539"/>
      <c r="H131" s="539"/>
      <c r="I131" s="539"/>
      <c r="J131" s="539"/>
      <c r="K131" s="539"/>
      <c r="L131" s="539"/>
      <c r="M131" s="539"/>
      <c r="N131" s="539"/>
      <c r="O131" s="539"/>
      <c r="P131" s="539"/>
      <c r="Q131" s="539"/>
      <c r="R131" s="539"/>
      <c r="S131" s="540"/>
    </row>
    <row r="132" spans="2:19" s="438" customFormat="1" ht="21.75" customHeight="1" x14ac:dyDescent="0.25"/>
    <row r="133" spans="2:19" s="438" customFormat="1" ht="21.75" customHeight="1" thickBot="1" x14ac:dyDescent="0.3"/>
    <row r="134" spans="2:19" x14ac:dyDescent="0.25">
      <c r="B134" s="443"/>
      <c r="C134" s="444"/>
      <c r="D134" s="444"/>
      <c r="E134" s="444"/>
      <c r="F134" s="444"/>
      <c r="G134" s="444"/>
      <c r="H134" s="444"/>
      <c r="I134" s="444"/>
      <c r="J134" s="444"/>
      <c r="K134" s="444"/>
      <c r="L134" s="444"/>
      <c r="M134" s="444"/>
      <c r="N134" s="444"/>
      <c r="O134" s="444"/>
      <c r="P134" s="444"/>
      <c r="Q134" s="444"/>
      <c r="R134" s="444"/>
      <c r="S134" s="445"/>
    </row>
    <row r="135" spans="2:19" ht="23.25" x14ac:dyDescent="0.25">
      <c r="B135" s="447"/>
      <c r="C135" s="1067" t="s">
        <v>673</v>
      </c>
      <c r="D135" s="1067"/>
      <c r="E135" s="1067"/>
      <c r="F135" s="1067"/>
      <c r="G135" s="1067"/>
      <c r="H135" s="1067"/>
      <c r="I135" s="1067"/>
      <c r="J135" s="1067"/>
      <c r="K135" s="1067"/>
      <c r="L135" s="1067"/>
      <c r="M135" s="1067"/>
      <c r="N135" s="1067"/>
      <c r="O135" s="1067"/>
      <c r="P135" s="1067"/>
      <c r="Q135" s="1067"/>
      <c r="R135" s="1067"/>
      <c r="S135" s="448"/>
    </row>
    <row r="136" spans="2:19" x14ac:dyDescent="0.25">
      <c r="B136" s="447"/>
      <c r="C136" s="449"/>
      <c r="D136" s="449"/>
      <c r="E136" s="449"/>
      <c r="F136" s="449"/>
      <c r="G136" s="449"/>
      <c r="H136" s="449"/>
      <c r="I136" s="449"/>
      <c r="J136" s="449"/>
      <c r="K136" s="449"/>
      <c r="L136" s="449"/>
      <c r="M136" s="449"/>
      <c r="N136" s="449"/>
      <c r="O136" s="449"/>
      <c r="P136" s="449"/>
      <c r="Q136" s="449"/>
      <c r="R136" s="449"/>
      <c r="S136" s="448"/>
    </row>
    <row r="137" spans="2:19" x14ac:dyDescent="0.25">
      <c r="B137" s="447"/>
      <c r="C137" s="449"/>
      <c r="D137" s="449"/>
      <c r="E137" s="449"/>
      <c r="F137" s="449"/>
      <c r="G137" s="449"/>
      <c r="H137" s="449"/>
      <c r="I137" s="449"/>
      <c r="J137" s="449"/>
      <c r="K137" s="449"/>
      <c r="L137" s="449"/>
      <c r="M137" s="449"/>
      <c r="N137" s="449"/>
      <c r="O137" s="449"/>
      <c r="P137" s="449"/>
      <c r="Q137" s="449"/>
      <c r="R137" s="449"/>
      <c r="S137" s="448"/>
    </row>
    <row r="138" spans="2:19" x14ac:dyDescent="0.25">
      <c r="B138" s="447"/>
      <c r="C138" s="500"/>
      <c r="D138" s="501"/>
      <c r="E138" s="501"/>
      <c r="F138" s="501"/>
      <c r="G138" s="501"/>
      <c r="H138" s="501"/>
      <c r="I138" s="501"/>
      <c r="J138" s="501"/>
      <c r="K138" s="501"/>
      <c r="L138" s="501"/>
      <c r="M138" s="501"/>
      <c r="N138" s="501"/>
      <c r="O138" s="501"/>
      <c r="P138" s="501"/>
      <c r="Q138" s="501"/>
      <c r="R138" s="502"/>
      <c r="S138" s="448"/>
    </row>
    <row r="139" spans="2:19" ht="18.75" x14ac:dyDescent="0.25">
      <c r="B139" s="447"/>
      <c r="C139" s="503"/>
      <c r="D139" s="449"/>
      <c r="E139" s="1088" t="s">
        <v>147</v>
      </c>
      <c r="F139" s="1089"/>
      <c r="G139" s="1089"/>
      <c r="H139" s="1089"/>
      <c r="I139" s="1089"/>
      <c r="J139" s="1089"/>
      <c r="K139" s="1089"/>
      <c r="L139" s="1089"/>
      <c r="M139" s="1089"/>
      <c r="N139" s="1089"/>
      <c r="O139" s="1089"/>
      <c r="P139" s="1090"/>
      <c r="Q139" s="449"/>
      <c r="R139" s="504"/>
      <c r="S139" s="448"/>
    </row>
    <row r="140" spans="2:19" x14ac:dyDescent="0.25">
      <c r="B140" s="447"/>
      <c r="C140" s="503"/>
      <c r="D140" s="449"/>
      <c r="E140" s="449"/>
      <c r="F140" s="449"/>
      <c r="G140" s="449"/>
      <c r="H140" s="449"/>
      <c r="I140" s="449"/>
      <c r="J140" s="449"/>
      <c r="K140" s="449"/>
      <c r="L140" s="449"/>
      <c r="M140" s="449"/>
      <c r="N140" s="449"/>
      <c r="O140" s="449"/>
      <c r="P140" s="449"/>
      <c r="Q140" s="449"/>
      <c r="R140" s="504"/>
      <c r="S140" s="448"/>
    </row>
    <row r="141" spans="2:19" ht="28.9" customHeight="1" x14ac:dyDescent="0.25">
      <c r="B141" s="447"/>
      <c r="C141" s="503"/>
      <c r="D141" s="449"/>
      <c r="E141" s="1084" t="s">
        <v>705</v>
      </c>
      <c r="F141" s="1116"/>
      <c r="G141" s="1116"/>
      <c r="H141" s="1116"/>
      <c r="I141" s="449"/>
      <c r="J141" s="449"/>
      <c r="K141" s="541" t="s">
        <v>149</v>
      </c>
      <c r="L141" s="449"/>
      <c r="M141" s="449"/>
      <c r="N141" s="449"/>
      <c r="O141" s="542" t="s">
        <v>103</v>
      </c>
      <c r="P141" s="543" t="s">
        <v>111</v>
      </c>
      <c r="Q141" s="449"/>
      <c r="R141" s="504"/>
      <c r="S141" s="448"/>
    </row>
    <row r="142" spans="2:19" x14ac:dyDescent="0.25">
      <c r="B142" s="447"/>
      <c r="C142" s="503"/>
      <c r="D142" s="449"/>
      <c r="E142" s="449"/>
      <c r="F142" s="449"/>
      <c r="G142" s="449"/>
      <c r="H142" s="449"/>
      <c r="I142" s="449"/>
      <c r="J142" s="449"/>
      <c r="K142" s="521" t="s">
        <v>620</v>
      </c>
      <c r="L142" s="449"/>
      <c r="M142" s="449"/>
      <c r="N142" s="449"/>
      <c r="O142" s="544"/>
      <c r="P142" s="545">
        <f>IFERROR(IFERROR(IF('C.Prestador'!C109&lt;1500,ReferenciasP!C140+ReferenciasP!C139,IF('C.Prestador'!C109&lt;15000,ReferenciasP!H140+ReferenciasP!H139,ReferenciasP!M140+ReferenciasP!M139)),0),0)</f>
        <v>0</v>
      </c>
      <c r="Q142" s="449"/>
      <c r="R142" s="504"/>
      <c r="S142" s="448"/>
    </row>
    <row r="143" spans="2:19" ht="15.75" x14ac:dyDescent="0.25">
      <c r="B143" s="447"/>
      <c r="C143" s="503"/>
      <c r="D143" s="449"/>
      <c r="E143" s="546"/>
      <c r="F143" s="546"/>
      <c r="G143" s="546"/>
      <c r="H143" s="546"/>
      <c r="I143" s="546"/>
      <c r="J143" s="546"/>
      <c r="K143" s="521" t="s">
        <v>150</v>
      </c>
      <c r="L143" s="546"/>
      <c r="M143" s="449"/>
      <c r="N143" s="449"/>
      <c r="O143" s="544"/>
      <c r="P143" s="547">
        <f>IFERROR(HLOOKUP('C.Prestador'!C120,ReferenciasP!C117:E132,ReferenciasP!A122,0),0)</f>
        <v>0</v>
      </c>
      <c r="Q143" s="449"/>
      <c r="R143" s="504"/>
      <c r="S143" s="448"/>
    </row>
    <row r="144" spans="2:19" x14ac:dyDescent="0.25">
      <c r="B144" s="447"/>
      <c r="C144" s="503"/>
      <c r="D144" s="449"/>
      <c r="E144" s="449"/>
      <c r="F144" s="548"/>
      <c r="G144" s="449"/>
      <c r="H144" s="449"/>
      <c r="I144" s="449"/>
      <c r="J144" s="449"/>
      <c r="K144" s="521" t="s">
        <v>151</v>
      </c>
      <c r="L144" s="449"/>
      <c r="M144" s="449"/>
      <c r="N144" s="449"/>
      <c r="O144" s="549"/>
      <c r="P144" s="550">
        <f>+IFERROR(HLOOKUP('C.Prestador'!C120,ReferenciasP!C117:E132,ReferenciasP!A123,0),0)</f>
        <v>0</v>
      </c>
      <c r="Q144" s="449"/>
      <c r="R144" s="504"/>
      <c r="S144" s="448"/>
    </row>
    <row r="145" spans="2:19" x14ac:dyDescent="0.25">
      <c r="B145" s="447"/>
      <c r="C145" s="503"/>
      <c r="D145" s="449"/>
      <c r="E145" s="449"/>
      <c r="F145" s="449"/>
      <c r="G145" s="449"/>
      <c r="H145" s="449"/>
      <c r="I145" s="449"/>
      <c r="J145" s="449"/>
      <c r="K145" s="521" t="s">
        <v>152</v>
      </c>
      <c r="L145" s="449"/>
      <c r="M145" s="449"/>
      <c r="N145" s="449"/>
      <c r="O145" s="544"/>
      <c r="P145" s="545">
        <v>20</v>
      </c>
      <c r="Q145" s="449"/>
      <c r="R145" s="504"/>
      <c r="S145" s="448"/>
    </row>
    <row r="146" spans="2:19" x14ac:dyDescent="0.25">
      <c r="B146" s="447"/>
      <c r="C146" s="503"/>
      <c r="D146" s="449"/>
      <c r="E146" s="449"/>
      <c r="F146" s="449"/>
      <c r="G146" s="449"/>
      <c r="H146" s="449"/>
      <c r="I146" s="449"/>
      <c r="J146" s="449"/>
      <c r="K146" s="449"/>
      <c r="L146" s="449"/>
      <c r="M146" s="449"/>
      <c r="N146" s="449"/>
      <c r="O146" s="449"/>
      <c r="P146" s="551"/>
      <c r="Q146" s="449"/>
      <c r="R146" s="504"/>
      <c r="S146" s="448"/>
    </row>
    <row r="147" spans="2:19" ht="36.75" customHeight="1" x14ac:dyDescent="0.25">
      <c r="B147" s="447"/>
      <c r="C147" s="503"/>
      <c r="D147" s="449"/>
      <c r="E147" s="1117" t="str">
        <f>+IF('C.Prestador'!C99=TRUE,"Indique la capacidad a modelar de cada centro (ton/año)","Indique la cantidad de centros")</f>
        <v>Indique la cantidad de centros</v>
      </c>
      <c r="F147" s="1118"/>
      <c r="G147" s="544"/>
      <c r="H147" s="449"/>
      <c r="I147" s="544"/>
      <c r="J147" s="449"/>
      <c r="K147" s="542" t="s">
        <v>154</v>
      </c>
      <c r="L147" s="449"/>
      <c r="M147" s="449"/>
      <c r="N147" s="449"/>
      <c r="O147" s="449"/>
      <c r="P147" s="449"/>
      <c r="Q147" s="449"/>
      <c r="R147" s="504"/>
      <c r="S147" s="448"/>
    </row>
    <row r="148" spans="2:19" x14ac:dyDescent="0.25">
      <c r="B148" s="447"/>
      <c r="C148" s="503"/>
      <c r="D148" s="449"/>
      <c r="E148" s="551" t="str">
        <f>+IF(Tamaño=TRUE,"Cantidad de centros","Capacidad de los centros (ton/año)")</f>
        <v>Capacidad de los centros (ton/año)</v>
      </c>
      <c r="F148" s="551"/>
      <c r="G148" s="552">
        <f>IFERROR(ROUNDUP('C.Prestador'!C109/'Datos Prestador'!G147,0),0)</f>
        <v>0</v>
      </c>
      <c r="H148" s="449"/>
      <c r="I148" s="553">
        <f>+IFERROR(ROUNDUP('C.Prestador'!C109/'Datos Prestador'!I147,0),0)</f>
        <v>0</v>
      </c>
      <c r="J148" s="449"/>
      <c r="K148" s="521" t="s">
        <v>155</v>
      </c>
      <c r="L148" s="449"/>
      <c r="M148" s="449"/>
      <c r="N148" s="449"/>
      <c r="O148" s="449"/>
      <c r="P148" s="449"/>
      <c r="Q148" s="449"/>
      <c r="R148" s="504"/>
      <c r="S148" s="448"/>
    </row>
    <row r="149" spans="2:19" x14ac:dyDescent="0.25">
      <c r="B149" s="447"/>
      <c r="C149" s="503"/>
      <c r="D149" s="449"/>
      <c r="E149" s="551" t="s">
        <v>438</v>
      </c>
      <c r="F149" s="551"/>
      <c r="G149" s="552">
        <f>+G148*G147</f>
        <v>0</v>
      </c>
      <c r="H149" s="449"/>
      <c r="I149" s="554">
        <f>+I148*I147</f>
        <v>0</v>
      </c>
      <c r="J149" s="449"/>
      <c r="K149" s="449"/>
      <c r="L149" s="449"/>
      <c r="M149" s="449"/>
      <c r="N149" s="449"/>
      <c r="O149" s="449"/>
      <c r="P149" s="449"/>
      <c r="Q149" s="449"/>
      <c r="R149" s="504"/>
      <c r="S149" s="448"/>
    </row>
    <row r="150" spans="2:19" x14ac:dyDescent="0.25">
      <c r="B150" s="447"/>
      <c r="C150" s="503"/>
      <c r="D150" s="449"/>
      <c r="E150" s="551" t="s">
        <v>439</v>
      </c>
      <c r="F150" s="551"/>
      <c r="G150" s="552">
        <f>+IFERROR(G149-G147*G148,0)</f>
        <v>0</v>
      </c>
      <c r="H150" s="449"/>
      <c r="I150" s="555">
        <f>+IFERROR(I149-'C.Prestador'!C115,0)</f>
        <v>0</v>
      </c>
      <c r="J150" s="449"/>
      <c r="K150" s="449"/>
      <c r="L150" s="449"/>
      <c r="M150" s="449"/>
      <c r="N150" s="449"/>
      <c r="O150" s="449"/>
      <c r="P150" s="449"/>
      <c r="Q150" s="449"/>
      <c r="R150" s="504"/>
      <c r="S150" s="448"/>
    </row>
    <row r="151" spans="2:19" ht="30" x14ac:dyDescent="0.25">
      <c r="B151" s="447"/>
      <c r="C151" s="503"/>
      <c r="D151" s="449"/>
      <c r="E151" s="449"/>
      <c r="F151" s="449"/>
      <c r="G151" s="556"/>
      <c r="H151" s="449"/>
      <c r="I151" s="556"/>
      <c r="J151" s="449"/>
      <c r="K151" s="449"/>
      <c r="L151" s="449"/>
      <c r="M151" s="449"/>
      <c r="N151" s="449"/>
      <c r="O151" s="449"/>
      <c r="P151" s="543" t="s">
        <v>111</v>
      </c>
      <c r="Q151" s="449"/>
      <c r="R151" s="504"/>
      <c r="S151" s="448"/>
    </row>
    <row r="152" spans="2:19" ht="28.5" customHeight="1" x14ac:dyDescent="0.25">
      <c r="B152" s="447"/>
      <c r="C152" s="503"/>
      <c r="D152" s="449"/>
      <c r="E152" s="449"/>
      <c r="F152" s="449"/>
      <c r="G152" s="449"/>
      <c r="H152" s="449"/>
      <c r="I152" s="449"/>
      <c r="J152" s="449"/>
      <c r="K152" s="1124" t="str">
        <f>+IF('C.Prestador'!C105=TRUE,"Rendimientos en clasificación material (Ton/ope-turno)", "Cantidad de operarios de separación por centro")</f>
        <v>Cantidad de operarios de separación por centro</v>
      </c>
      <c r="L152" s="1124"/>
      <c r="M152" s="1125"/>
      <c r="N152" s="544"/>
      <c r="O152" s="544"/>
      <c r="P152" s="617">
        <f>+IFERROR(IF('C.Prestador'!C105=FALSE,HLOOKUP('C.Prestador'!C120,ReferenciasP!C166:E171,2,0),HLOOKUP('C.Prestador'!C120,ReferenciasP!C120:E132,5,0)),0)</f>
        <v>0</v>
      </c>
      <c r="Q152" s="449"/>
      <c r="R152" s="504"/>
      <c r="S152" s="448"/>
    </row>
    <row r="153" spans="2:19" ht="28.5" customHeight="1" x14ac:dyDescent="0.25">
      <c r="B153" s="447"/>
      <c r="C153" s="503"/>
      <c r="D153" s="449"/>
      <c r="E153" s="449"/>
      <c r="F153" s="449"/>
      <c r="G153" s="449"/>
      <c r="H153" s="449"/>
      <c r="I153" s="449"/>
      <c r="J153" s="449"/>
      <c r="K153" s="1124" t="str">
        <f>+IF('C.Prestador'!C105=FALSE,"Cantidad de operarios de báscula y minicargador","")</f>
        <v>Cantidad de operarios de báscula y minicargador</v>
      </c>
      <c r="L153" s="1124"/>
      <c r="M153" s="1125"/>
      <c r="N153" s="544"/>
      <c r="O153" s="544"/>
      <c r="P153" s="557">
        <f>+IFERROR(HLOOKUP('C.Prestador'!C120,ReferenciasP!C166:E171,3,0),0)</f>
        <v>0</v>
      </c>
      <c r="Q153" s="449"/>
      <c r="R153" s="504"/>
      <c r="S153" s="448"/>
    </row>
    <row r="154" spans="2:19" ht="28.5" customHeight="1" x14ac:dyDescent="0.25">
      <c r="B154" s="447"/>
      <c r="C154" s="503"/>
      <c r="D154" s="449"/>
      <c r="E154" s="449"/>
      <c r="F154" s="449"/>
      <c r="G154" s="449"/>
      <c r="H154" s="449"/>
      <c r="I154" s="449"/>
      <c r="J154" s="449"/>
      <c r="K154" s="1124" t="str">
        <f>+IF('C.Prestador'!C105=TRUE,"Número de supervisores por cada 20 operarios", "Cantidad de supervisores")</f>
        <v>Cantidad de supervisores</v>
      </c>
      <c r="L154" s="1124"/>
      <c r="M154" s="1125"/>
      <c r="N154" s="544"/>
      <c r="O154" s="544"/>
      <c r="P154" s="558">
        <f>IFERROR(IF('C.Prestador'!C105=FALSE,HLOOKUP('C.Prestador'!C120,ReferenciasP!C166:E171,4,0),HLOOKUP('C.Prestador'!C120,ReferenciasP!C120:E133,14,0)),0)</f>
        <v>0</v>
      </c>
      <c r="Q154" s="449"/>
      <c r="R154" s="504"/>
      <c r="S154" s="448"/>
    </row>
    <row r="155" spans="2:19" ht="28.5" customHeight="1" x14ac:dyDescent="0.25">
      <c r="B155" s="447"/>
      <c r="C155" s="503"/>
      <c r="D155" s="449"/>
      <c r="E155" s="449"/>
      <c r="F155" s="449"/>
      <c r="G155" s="449"/>
      <c r="H155" s="449"/>
      <c r="I155" s="449"/>
      <c r="J155" s="449"/>
      <c r="K155" s="559"/>
      <c r="L155" s="559"/>
      <c r="M155" s="559"/>
      <c r="N155" s="559"/>
      <c r="O155" s="559"/>
      <c r="P155" s="559"/>
      <c r="Q155" s="449"/>
      <c r="R155" s="504"/>
      <c r="S155" s="448"/>
    </row>
    <row r="156" spans="2:19" x14ac:dyDescent="0.25">
      <c r="B156" s="447"/>
      <c r="C156" s="503"/>
      <c r="D156" s="449"/>
      <c r="E156" s="560" t="s">
        <v>440</v>
      </c>
      <c r="F156" s="455"/>
      <c r="G156" s="449"/>
      <c r="H156" s="449"/>
      <c r="I156" s="449"/>
      <c r="J156" s="449"/>
      <c r="K156" s="455" t="s">
        <v>521</v>
      </c>
      <c r="L156" s="449"/>
      <c r="M156" s="449"/>
      <c r="N156" s="449"/>
      <c r="O156" s="544"/>
      <c r="P156" s="558">
        <f>IFERROR(HLOOKUP('C.Prestador'!C120,ReferenciasP!C166:E171,5,0),0)</f>
        <v>1</v>
      </c>
      <c r="Q156" s="449"/>
      <c r="R156" s="504"/>
      <c r="S156" s="448"/>
    </row>
    <row r="157" spans="2:19" x14ac:dyDescent="0.25">
      <c r="B157" s="447"/>
      <c r="C157" s="503"/>
      <c r="D157" s="449"/>
      <c r="E157" s="455" t="s">
        <v>162</v>
      </c>
      <c r="F157" s="455"/>
      <c r="G157" s="561"/>
      <c r="H157" s="449"/>
      <c r="I157" s="449"/>
      <c r="J157" s="449"/>
      <c r="K157" s="455" t="s">
        <v>347</v>
      </c>
      <c r="L157" s="449"/>
      <c r="M157" s="449"/>
      <c r="N157" s="449"/>
      <c r="O157" s="544"/>
      <c r="P157" s="558">
        <f>+ReferenciasP!C104</f>
        <v>26</v>
      </c>
      <c r="Q157" s="449"/>
      <c r="R157" s="504"/>
      <c r="S157" s="448"/>
    </row>
    <row r="158" spans="2:19" x14ac:dyDescent="0.25">
      <c r="B158" s="447"/>
      <c r="C158" s="503"/>
      <c r="D158" s="449"/>
      <c r="E158" s="455" t="s">
        <v>163</v>
      </c>
      <c r="F158" s="455"/>
      <c r="G158" s="561"/>
      <c r="H158" s="449"/>
      <c r="I158" s="449"/>
      <c r="J158" s="449"/>
      <c r="K158" s="455" t="s">
        <v>348</v>
      </c>
      <c r="L158" s="449"/>
      <c r="M158" s="449"/>
      <c r="N158" s="449"/>
      <c r="O158" s="544"/>
      <c r="P158" s="558">
        <f>+IF(G148&lt;1501,1,IF(G148&lt;40000,2,3))</f>
        <v>1</v>
      </c>
      <c r="Q158" s="449"/>
      <c r="R158" s="504"/>
      <c r="S158" s="448"/>
    </row>
    <row r="159" spans="2:19" x14ac:dyDescent="0.25">
      <c r="B159" s="447"/>
      <c r="C159" s="503"/>
      <c r="D159" s="449"/>
      <c r="E159" s="449"/>
      <c r="F159" s="449"/>
      <c r="G159" s="449"/>
      <c r="H159" s="449"/>
      <c r="I159" s="449"/>
      <c r="J159" s="449"/>
      <c r="K159" s="455" t="s">
        <v>100</v>
      </c>
      <c r="L159" s="449"/>
      <c r="M159" s="449"/>
      <c r="N159" s="449"/>
      <c r="O159" s="544"/>
      <c r="P159" s="558">
        <f>+ReferenciasP!C106</f>
        <v>8</v>
      </c>
      <c r="Q159" s="449"/>
      <c r="R159" s="504"/>
      <c r="S159" s="448"/>
    </row>
    <row r="160" spans="2:19" x14ac:dyDescent="0.25">
      <c r="B160" s="447"/>
      <c r="C160" s="510"/>
      <c r="D160" s="511"/>
      <c r="E160" s="511"/>
      <c r="F160" s="511"/>
      <c r="G160" s="511"/>
      <c r="H160" s="511"/>
      <c r="I160" s="511"/>
      <c r="J160" s="511"/>
      <c r="K160" s="449"/>
      <c r="L160" s="449"/>
      <c r="M160" s="449"/>
      <c r="N160" s="449"/>
      <c r="O160" s="449"/>
      <c r="P160" s="449"/>
      <c r="Q160" s="449"/>
      <c r="R160" s="512"/>
      <c r="S160" s="448"/>
    </row>
    <row r="161" spans="2:19" ht="9" customHeight="1" x14ac:dyDescent="0.25">
      <c r="B161" s="447"/>
      <c r="C161" s="449"/>
      <c r="D161" s="449"/>
      <c r="E161" s="449"/>
      <c r="F161" s="449"/>
      <c r="G161" s="449"/>
      <c r="H161" s="449"/>
      <c r="I161" s="449"/>
      <c r="J161" s="449"/>
      <c r="K161" s="501"/>
      <c r="L161" s="501"/>
      <c r="M161" s="501"/>
      <c r="N161" s="501"/>
      <c r="O161" s="501"/>
      <c r="P161" s="501"/>
      <c r="Q161" s="501"/>
      <c r="R161" s="449"/>
      <c r="S161" s="448"/>
    </row>
    <row r="162" spans="2:19" ht="12" customHeight="1" x14ac:dyDescent="0.25">
      <c r="B162" s="447"/>
      <c r="C162" s="449"/>
      <c r="D162" s="449"/>
      <c r="E162" s="449"/>
      <c r="F162" s="449"/>
      <c r="G162" s="449"/>
      <c r="H162" s="449"/>
      <c r="I162" s="449"/>
      <c r="J162" s="449"/>
      <c r="K162" s="449"/>
      <c r="L162" s="449"/>
      <c r="M162" s="449"/>
      <c r="N162" s="449"/>
      <c r="O162" s="449"/>
      <c r="P162" s="449"/>
      <c r="Q162" s="449"/>
      <c r="R162" s="449"/>
      <c r="S162" s="448"/>
    </row>
    <row r="163" spans="2:19" x14ac:dyDescent="0.25">
      <c r="B163" s="447"/>
      <c r="C163" s="500"/>
      <c r="D163" s="501"/>
      <c r="E163" s="501"/>
      <c r="F163" s="501"/>
      <c r="G163" s="501"/>
      <c r="H163" s="501"/>
      <c r="I163" s="501"/>
      <c r="J163" s="501"/>
      <c r="K163" s="501"/>
      <c r="L163" s="501"/>
      <c r="M163" s="501"/>
      <c r="N163" s="501"/>
      <c r="O163" s="501"/>
      <c r="P163" s="501"/>
      <c r="Q163" s="501"/>
      <c r="R163" s="502"/>
      <c r="S163" s="448"/>
    </row>
    <row r="164" spans="2:19" ht="18.75" x14ac:dyDescent="0.25">
      <c r="B164" s="447"/>
      <c r="C164" s="503"/>
      <c r="D164" s="449"/>
      <c r="E164" s="1088" t="s">
        <v>117</v>
      </c>
      <c r="F164" s="1089"/>
      <c r="G164" s="1089"/>
      <c r="H164" s="1089"/>
      <c r="I164" s="1089"/>
      <c r="J164" s="1089"/>
      <c r="K164" s="1089"/>
      <c r="L164" s="1089"/>
      <c r="M164" s="1089"/>
      <c r="N164" s="1089"/>
      <c r="O164" s="1089"/>
      <c r="P164" s="1090"/>
      <c r="Q164" s="513"/>
      <c r="R164" s="504"/>
      <c r="S164" s="448"/>
    </row>
    <row r="165" spans="2:19" x14ac:dyDescent="0.25">
      <c r="B165" s="447"/>
      <c r="C165" s="503"/>
      <c r="D165" s="449"/>
      <c r="E165" s="449"/>
      <c r="F165" s="449"/>
      <c r="G165" s="449"/>
      <c r="H165" s="449"/>
      <c r="I165" s="449"/>
      <c r="J165" s="449"/>
      <c r="K165" s="449"/>
      <c r="L165" s="449"/>
      <c r="M165" s="449"/>
      <c r="N165" s="449"/>
      <c r="O165" s="449"/>
      <c r="P165" s="449"/>
      <c r="Q165" s="449"/>
      <c r="R165" s="504"/>
      <c r="S165" s="448"/>
    </row>
    <row r="166" spans="2:19" x14ac:dyDescent="0.25">
      <c r="B166" s="447"/>
      <c r="C166" s="503"/>
      <c r="D166" s="449"/>
      <c r="E166" s="1116" t="s">
        <v>436</v>
      </c>
      <c r="F166" s="1116"/>
      <c r="G166" s="1116"/>
      <c r="H166" s="1116"/>
      <c r="I166" s="1116"/>
      <c r="J166" s="1116"/>
      <c r="K166" s="1116"/>
      <c r="L166" s="1116"/>
      <c r="M166" s="1116"/>
      <c r="N166" s="1116"/>
      <c r="O166" s="1116"/>
      <c r="P166" s="1116"/>
      <c r="Q166" s="449"/>
      <c r="R166" s="504"/>
      <c r="S166" s="448"/>
    </row>
    <row r="167" spans="2:19" x14ac:dyDescent="0.25">
      <c r="B167" s="447"/>
      <c r="C167" s="503"/>
      <c r="D167" s="449"/>
      <c r="E167" s="449"/>
      <c r="F167" s="449"/>
      <c r="G167" s="449"/>
      <c r="H167" s="449"/>
      <c r="I167" s="449"/>
      <c r="J167" s="449"/>
      <c r="K167" s="449"/>
      <c r="L167" s="449"/>
      <c r="M167" s="449"/>
      <c r="N167" s="449"/>
      <c r="O167" s="449"/>
      <c r="P167" s="449"/>
      <c r="Q167" s="449"/>
      <c r="R167" s="504"/>
      <c r="S167" s="448"/>
    </row>
    <row r="168" spans="2:19" ht="45" customHeight="1" x14ac:dyDescent="0.25">
      <c r="B168" s="447"/>
      <c r="C168" s="503"/>
      <c r="D168" s="449"/>
      <c r="E168" s="449"/>
      <c r="F168" s="1119" t="s">
        <v>136</v>
      </c>
      <c r="G168" s="1119"/>
      <c r="H168" s="1119"/>
      <c r="I168" s="1119"/>
      <c r="J168" s="1119"/>
      <c r="K168" s="1119"/>
      <c r="L168" s="1119"/>
      <c r="M168" s="562" t="s">
        <v>160</v>
      </c>
      <c r="N168" s="562" t="s">
        <v>159</v>
      </c>
      <c r="O168" s="562" t="s">
        <v>161</v>
      </c>
      <c r="P168" s="449"/>
      <c r="Q168" s="449"/>
      <c r="R168" s="504"/>
      <c r="S168" s="448"/>
    </row>
    <row r="169" spans="2:19" x14ac:dyDescent="0.25">
      <c r="B169" s="447"/>
      <c r="C169" s="503"/>
      <c r="D169" s="449"/>
      <c r="E169" s="449"/>
      <c r="F169" s="1115" t="s">
        <v>128</v>
      </c>
      <c r="G169" s="1115"/>
      <c r="H169" s="1115"/>
      <c r="I169" s="1115"/>
      <c r="J169" s="1115"/>
      <c r="K169" s="1115"/>
      <c r="L169" s="1115"/>
      <c r="M169" s="563"/>
      <c r="N169" s="563"/>
      <c r="O169" s="563"/>
      <c r="P169" s="449"/>
      <c r="Q169" s="449"/>
      <c r="R169" s="504"/>
      <c r="S169" s="448"/>
    </row>
    <row r="170" spans="2:19" x14ac:dyDescent="0.25">
      <c r="B170" s="447"/>
      <c r="C170" s="503"/>
      <c r="D170" s="449"/>
      <c r="E170" s="449"/>
      <c r="F170" s="1115" t="s">
        <v>129</v>
      </c>
      <c r="G170" s="1115"/>
      <c r="H170" s="1115"/>
      <c r="I170" s="1115"/>
      <c r="J170" s="1115"/>
      <c r="K170" s="1115"/>
      <c r="L170" s="1115"/>
      <c r="M170" s="563"/>
      <c r="N170" s="563"/>
      <c r="O170" s="563"/>
      <c r="P170" s="449"/>
      <c r="Q170" s="449"/>
      <c r="R170" s="504"/>
      <c r="S170" s="448"/>
    </row>
    <row r="171" spans="2:19" x14ac:dyDescent="0.25">
      <c r="B171" s="447"/>
      <c r="C171" s="503"/>
      <c r="D171" s="449"/>
      <c r="E171" s="449"/>
      <c r="F171" s="1115" t="s">
        <v>130</v>
      </c>
      <c r="G171" s="1115"/>
      <c r="H171" s="1115"/>
      <c r="I171" s="1115"/>
      <c r="J171" s="1115"/>
      <c r="K171" s="1115"/>
      <c r="L171" s="1115"/>
      <c r="M171" s="564"/>
      <c r="N171" s="564"/>
      <c r="O171" s="564"/>
      <c r="P171" s="449"/>
      <c r="Q171" s="449"/>
      <c r="R171" s="504"/>
      <c r="S171" s="448"/>
    </row>
    <row r="172" spans="2:19" x14ac:dyDescent="0.25">
      <c r="B172" s="447"/>
      <c r="C172" s="503"/>
      <c r="D172" s="449"/>
      <c r="E172" s="449"/>
      <c r="F172" s="1115" t="s">
        <v>131</v>
      </c>
      <c r="G172" s="1115"/>
      <c r="H172" s="1115"/>
      <c r="I172" s="1115"/>
      <c r="J172" s="1115"/>
      <c r="K172" s="1115"/>
      <c r="L172" s="1115"/>
      <c r="M172" s="564"/>
      <c r="N172" s="564"/>
      <c r="O172" s="564"/>
      <c r="P172" s="449"/>
      <c r="Q172" s="449"/>
      <c r="R172" s="504"/>
      <c r="S172" s="448"/>
    </row>
    <row r="173" spans="2:19" x14ac:dyDescent="0.25">
      <c r="B173" s="447"/>
      <c r="C173" s="503"/>
      <c r="D173" s="449"/>
      <c r="E173" s="449"/>
      <c r="F173" s="1115" t="s">
        <v>132</v>
      </c>
      <c r="G173" s="1115"/>
      <c r="H173" s="1115"/>
      <c r="I173" s="1115"/>
      <c r="J173" s="1115"/>
      <c r="K173" s="1115"/>
      <c r="L173" s="1115"/>
      <c r="M173" s="564"/>
      <c r="N173" s="564"/>
      <c r="O173" s="564"/>
      <c r="P173" s="449"/>
      <c r="Q173" s="449"/>
      <c r="R173" s="504"/>
      <c r="S173" s="448"/>
    </row>
    <row r="174" spans="2:19" x14ac:dyDescent="0.25">
      <c r="B174" s="447"/>
      <c r="C174" s="503"/>
      <c r="D174" s="449"/>
      <c r="E174" s="449"/>
      <c r="F174" s="1115" t="s">
        <v>133</v>
      </c>
      <c r="G174" s="1115"/>
      <c r="H174" s="1115"/>
      <c r="I174" s="1115"/>
      <c r="J174" s="1115"/>
      <c r="K174" s="1115"/>
      <c r="L174" s="1115"/>
      <c r="M174" s="564"/>
      <c r="N174" s="564"/>
      <c r="O174" s="564"/>
      <c r="P174" s="449"/>
      <c r="Q174" s="449"/>
      <c r="R174" s="504"/>
      <c r="S174" s="448"/>
    </row>
    <row r="175" spans="2:19" ht="15" customHeight="1" x14ac:dyDescent="0.25">
      <c r="B175" s="447"/>
      <c r="C175" s="503"/>
      <c r="D175" s="449"/>
      <c r="E175" s="449"/>
      <c r="F175" s="1115" t="s">
        <v>203</v>
      </c>
      <c r="G175" s="1115"/>
      <c r="H175" s="1115"/>
      <c r="I175" s="1115"/>
      <c r="J175" s="1115"/>
      <c r="K175" s="1115"/>
      <c r="L175" s="1115"/>
      <c r="M175" s="563"/>
      <c r="N175" s="563"/>
      <c r="O175" s="563"/>
      <c r="P175" s="449"/>
      <c r="Q175" s="449"/>
      <c r="R175" s="504"/>
      <c r="S175" s="448"/>
    </row>
    <row r="176" spans="2:19" x14ac:dyDescent="0.25">
      <c r="B176" s="447"/>
      <c r="C176" s="503"/>
      <c r="D176" s="449"/>
      <c r="E176" s="449"/>
      <c r="F176" s="449"/>
      <c r="G176" s="449"/>
      <c r="H176" s="449"/>
      <c r="I176" s="449"/>
      <c r="J176" s="449"/>
      <c r="K176" s="449"/>
      <c r="L176" s="449"/>
      <c r="M176" s="449"/>
      <c r="N176" s="449"/>
      <c r="O176" s="449"/>
      <c r="P176" s="449"/>
      <c r="Q176" s="449"/>
      <c r="R176" s="504"/>
      <c r="S176" s="448"/>
    </row>
    <row r="177" spans="2:19" x14ac:dyDescent="0.25">
      <c r="B177" s="447"/>
      <c r="C177" s="503"/>
      <c r="D177" s="449"/>
      <c r="E177" s="1116" t="s">
        <v>503</v>
      </c>
      <c r="F177" s="1116"/>
      <c r="G177" s="1116"/>
      <c r="H177" s="1116"/>
      <c r="I177" s="1116"/>
      <c r="J177" s="1116"/>
      <c r="K177" s="1116"/>
      <c r="L177" s="1116"/>
      <c r="M177" s="1116"/>
      <c r="N177" s="1116"/>
      <c r="O177" s="1116"/>
      <c r="P177" s="1116"/>
      <c r="Q177" s="449"/>
      <c r="R177" s="504"/>
      <c r="S177" s="448"/>
    </row>
    <row r="178" spans="2:19" x14ac:dyDescent="0.25">
      <c r="B178" s="447"/>
      <c r="C178" s="503"/>
      <c r="D178" s="449"/>
      <c r="E178" s="449"/>
      <c r="F178" s="449"/>
      <c r="G178" s="449"/>
      <c r="H178" s="449"/>
      <c r="I178" s="449"/>
      <c r="J178" s="449"/>
      <c r="K178" s="449"/>
      <c r="L178" s="449"/>
      <c r="M178" s="449"/>
      <c r="N178" s="449"/>
      <c r="O178" s="449"/>
      <c r="P178" s="449"/>
      <c r="Q178" s="449"/>
      <c r="R178" s="504"/>
      <c r="S178" s="448"/>
    </row>
    <row r="179" spans="2:19" ht="30" customHeight="1" x14ac:dyDescent="0.25">
      <c r="B179" s="447"/>
      <c r="C179" s="503"/>
      <c r="D179" s="449"/>
      <c r="E179" s="449"/>
      <c r="F179" s="449"/>
      <c r="G179" s="1112" t="s">
        <v>363</v>
      </c>
      <c r="H179" s="1113"/>
      <c r="I179" s="1114"/>
      <c r="J179" s="1112" t="s">
        <v>125</v>
      </c>
      <c r="K179" s="1113"/>
      <c r="L179" s="1114"/>
      <c r="M179" s="506" t="s">
        <v>424</v>
      </c>
      <c r="N179" s="506" t="s">
        <v>137</v>
      </c>
      <c r="O179" s="526"/>
      <c r="P179" s="449"/>
      <c r="Q179" s="449"/>
      <c r="R179" s="504"/>
      <c r="S179" s="448"/>
    </row>
    <row r="180" spans="2:19" ht="19.5" customHeight="1" x14ac:dyDescent="0.25">
      <c r="B180" s="447"/>
      <c r="C180" s="503"/>
      <c r="D180" s="449"/>
      <c r="E180" s="449"/>
      <c r="F180" s="449"/>
      <c r="G180" s="1075" t="s">
        <v>160</v>
      </c>
      <c r="H180" s="1075"/>
      <c r="I180" s="1075"/>
      <c r="J180" s="1105"/>
      <c r="K180" s="1105"/>
      <c r="L180" s="1105"/>
      <c r="M180" s="537"/>
      <c r="N180" s="537"/>
      <c r="O180" s="449"/>
      <c r="P180" s="449"/>
      <c r="Q180" s="449"/>
      <c r="R180" s="504"/>
      <c r="S180" s="448"/>
    </row>
    <row r="181" spans="2:19" ht="19.5" customHeight="1" x14ac:dyDescent="0.25">
      <c r="B181" s="447"/>
      <c r="C181" s="503"/>
      <c r="D181" s="449"/>
      <c r="E181" s="449"/>
      <c r="F181" s="449"/>
      <c r="G181" s="1075" t="s">
        <v>159</v>
      </c>
      <c r="H181" s="1075"/>
      <c r="I181" s="1075"/>
      <c r="J181" s="1105"/>
      <c r="K181" s="1105"/>
      <c r="L181" s="1105"/>
      <c r="M181" s="537"/>
      <c r="N181" s="537"/>
      <c r="O181" s="449"/>
      <c r="P181" s="449"/>
      <c r="Q181" s="449"/>
      <c r="R181" s="504"/>
      <c r="S181" s="448"/>
    </row>
    <row r="182" spans="2:19" ht="19.5" customHeight="1" x14ac:dyDescent="0.25">
      <c r="B182" s="447"/>
      <c r="C182" s="503"/>
      <c r="D182" s="449"/>
      <c r="E182" s="449"/>
      <c r="F182" s="449"/>
      <c r="G182" s="1104" t="s">
        <v>161</v>
      </c>
      <c r="H182" s="1104"/>
      <c r="I182" s="1104"/>
      <c r="J182" s="1105"/>
      <c r="K182" s="1105"/>
      <c r="L182" s="1105"/>
      <c r="M182" s="537"/>
      <c r="N182" s="537"/>
      <c r="O182" s="449"/>
      <c r="P182" s="449"/>
      <c r="Q182" s="449"/>
      <c r="R182" s="504"/>
      <c r="S182" s="448"/>
    </row>
    <row r="183" spans="2:19" x14ac:dyDescent="0.25">
      <c r="B183" s="447"/>
      <c r="C183" s="510"/>
      <c r="D183" s="511"/>
      <c r="E183" s="511"/>
      <c r="F183" s="511"/>
      <c r="G183" s="1106"/>
      <c r="H183" s="1106"/>
      <c r="I183" s="1106"/>
      <c r="J183" s="1106"/>
      <c r="K183" s="1106"/>
      <c r="L183" s="1106"/>
      <c r="M183" s="511"/>
      <c r="N183" s="511"/>
      <c r="O183" s="511"/>
      <c r="P183" s="511"/>
      <c r="Q183" s="511"/>
      <c r="R183" s="512"/>
      <c r="S183" s="448"/>
    </row>
    <row r="184" spans="2:19" ht="9" customHeight="1" x14ac:dyDescent="0.25">
      <c r="B184" s="447"/>
      <c r="C184" s="449"/>
      <c r="D184" s="449"/>
      <c r="E184" s="449"/>
      <c r="F184" s="449"/>
      <c r="G184" s="449"/>
      <c r="H184" s="449"/>
      <c r="I184" s="449"/>
      <c r="J184" s="449"/>
      <c r="K184" s="449"/>
      <c r="L184" s="449"/>
      <c r="M184" s="449"/>
      <c r="N184" s="449"/>
      <c r="O184" s="449"/>
      <c r="P184" s="449"/>
      <c r="Q184" s="449"/>
      <c r="R184" s="449"/>
      <c r="S184" s="448"/>
    </row>
    <row r="185" spans="2:19" ht="8.25" customHeight="1" x14ac:dyDescent="0.25">
      <c r="B185" s="447"/>
      <c r="C185" s="449"/>
      <c r="D185" s="449"/>
      <c r="E185" s="449"/>
      <c r="F185" s="449"/>
      <c r="G185" s="449"/>
      <c r="H185" s="449"/>
      <c r="I185" s="449"/>
      <c r="J185" s="449"/>
      <c r="K185" s="449"/>
      <c r="L185" s="449"/>
      <c r="M185" s="449"/>
      <c r="N185" s="449"/>
      <c r="O185" s="449"/>
      <c r="P185" s="449"/>
      <c r="Q185" s="449"/>
      <c r="R185" s="449"/>
      <c r="S185" s="448"/>
    </row>
    <row r="186" spans="2:19" x14ac:dyDescent="0.25">
      <c r="B186" s="447"/>
      <c r="C186" s="500"/>
      <c r="D186" s="501"/>
      <c r="E186" s="501"/>
      <c r="F186" s="501"/>
      <c r="G186" s="501"/>
      <c r="H186" s="501"/>
      <c r="I186" s="501"/>
      <c r="J186" s="501"/>
      <c r="K186" s="501"/>
      <c r="L186" s="501"/>
      <c r="M186" s="501"/>
      <c r="N186" s="501"/>
      <c r="O186" s="501"/>
      <c r="P186" s="501"/>
      <c r="Q186" s="501"/>
      <c r="R186" s="502"/>
      <c r="S186" s="448"/>
    </row>
    <row r="187" spans="2:19" ht="18.75" x14ac:dyDescent="0.25">
      <c r="B187" s="447"/>
      <c r="C187" s="503"/>
      <c r="D187" s="449"/>
      <c r="E187" s="1088" t="s">
        <v>164</v>
      </c>
      <c r="F187" s="1089"/>
      <c r="G187" s="1089"/>
      <c r="H187" s="1089"/>
      <c r="I187" s="1089"/>
      <c r="J187" s="1089"/>
      <c r="K187" s="1089"/>
      <c r="L187" s="1089"/>
      <c r="M187" s="1089"/>
      <c r="N187" s="1089"/>
      <c r="O187" s="1089"/>
      <c r="P187" s="1090"/>
      <c r="Q187" s="513"/>
      <c r="R187" s="504"/>
      <c r="S187" s="448"/>
    </row>
    <row r="188" spans="2:19" x14ac:dyDescent="0.25">
      <c r="B188" s="447"/>
      <c r="C188" s="503"/>
      <c r="D188" s="449"/>
      <c r="E188" s="449"/>
      <c r="F188" s="449"/>
      <c r="G188" s="449"/>
      <c r="H188" s="449"/>
      <c r="I188" s="449"/>
      <c r="J188" s="449"/>
      <c r="K188" s="449"/>
      <c r="L188" s="449"/>
      <c r="M188" s="449"/>
      <c r="N188" s="449"/>
      <c r="O188" s="449"/>
      <c r="P188" s="449"/>
      <c r="Q188" s="449"/>
      <c r="R188" s="504"/>
      <c r="S188" s="448"/>
    </row>
    <row r="189" spans="2:19" x14ac:dyDescent="0.25">
      <c r="B189" s="447"/>
      <c r="C189" s="503"/>
      <c r="D189" s="1111" t="s">
        <v>679</v>
      </c>
      <c r="E189" s="1111"/>
      <c r="F189" s="1111"/>
      <c r="G189" s="1111"/>
      <c r="H189" s="1111"/>
      <c r="I189" s="1111"/>
      <c r="J189" s="1111"/>
      <c r="K189" s="1111"/>
      <c r="L189" s="1111"/>
      <c r="M189" s="1111"/>
      <c r="N189" s="1111"/>
      <c r="O189" s="1111"/>
      <c r="P189" s="1111"/>
      <c r="Q189" s="449"/>
      <c r="R189" s="504"/>
      <c r="S189" s="448"/>
    </row>
    <row r="190" spans="2:19" x14ac:dyDescent="0.25">
      <c r="B190" s="447"/>
      <c r="C190" s="503"/>
      <c r="D190" s="449"/>
      <c r="E190" s="449"/>
      <c r="F190" s="449"/>
      <c r="G190" s="449"/>
      <c r="H190" s="449"/>
      <c r="I190" s="449"/>
      <c r="J190" s="449"/>
      <c r="K190" s="449"/>
      <c r="L190" s="449"/>
      <c r="M190" s="449"/>
      <c r="N190" s="449"/>
      <c r="O190" s="449"/>
      <c r="P190" s="449"/>
      <c r="Q190" s="449"/>
      <c r="R190" s="504"/>
      <c r="S190" s="448"/>
    </row>
    <row r="191" spans="2:19" ht="29.25" customHeight="1" x14ac:dyDescent="0.25">
      <c r="B191" s="447"/>
      <c r="C191" s="503"/>
      <c r="D191" s="1107" t="s">
        <v>145</v>
      </c>
      <c r="E191" s="1108"/>
      <c r="F191" s="1098" t="s">
        <v>165</v>
      </c>
      <c r="G191" s="1099" t="s">
        <v>103</v>
      </c>
      <c r="H191" s="1100"/>
      <c r="I191" s="1100"/>
      <c r="J191" s="1099" t="s">
        <v>111</v>
      </c>
      <c r="K191" s="1100"/>
      <c r="L191" s="1100"/>
      <c r="M191" s="1100"/>
      <c r="N191" s="1098" t="s">
        <v>125</v>
      </c>
      <c r="O191" s="1098" t="s">
        <v>424</v>
      </c>
      <c r="P191" s="1098" t="s">
        <v>137</v>
      </c>
      <c r="Q191" s="449"/>
      <c r="R191" s="504"/>
      <c r="S191" s="448"/>
    </row>
    <row r="192" spans="2:19" ht="45" customHeight="1" x14ac:dyDescent="0.25">
      <c r="B192" s="447"/>
      <c r="C192" s="503"/>
      <c r="D192" s="1109"/>
      <c r="E192" s="1110"/>
      <c r="F192" s="1098"/>
      <c r="G192" s="565" t="s">
        <v>110</v>
      </c>
      <c r="H192" s="1101" t="s">
        <v>198</v>
      </c>
      <c r="I192" s="1102"/>
      <c r="J192" s="1101" t="s">
        <v>199</v>
      </c>
      <c r="K192" s="1103"/>
      <c r="L192" s="1102"/>
      <c r="M192" s="566" t="s">
        <v>198</v>
      </c>
      <c r="N192" s="1098"/>
      <c r="O192" s="1098"/>
      <c r="P192" s="1098"/>
      <c r="Q192" s="449"/>
      <c r="R192" s="504"/>
      <c r="S192" s="448"/>
    </row>
    <row r="193" spans="2:19" ht="21.75" customHeight="1" x14ac:dyDescent="0.25">
      <c r="B193" s="447"/>
      <c r="C193" s="503"/>
      <c r="D193" s="507" t="s">
        <v>166</v>
      </c>
      <c r="E193" s="567"/>
      <c r="F193" s="568" t="s">
        <v>167</v>
      </c>
      <c r="G193" s="569"/>
      <c r="H193" s="1094"/>
      <c r="I193" s="1095"/>
      <c r="J193" s="1085">
        <f>+IFERROR(HLOOKUP('C.Prestador'!$C$120,ReferenciasP!$C$136:$Q$163,ReferenciasP!A137,0),0)</f>
        <v>1</v>
      </c>
      <c r="K193" s="1086"/>
      <c r="L193" s="1087"/>
      <c r="M193" s="570">
        <f>+IFERROR(HLOOKUP('C.Prestador'!$C$121,ReferenciasP!$C$136:$Q$163,ReferenciasP!A137,0),0)</f>
        <v>0</v>
      </c>
      <c r="N193" s="571"/>
      <c r="O193" s="571"/>
      <c r="P193" s="571"/>
      <c r="Q193" s="449"/>
      <c r="R193" s="504"/>
      <c r="S193" s="448"/>
    </row>
    <row r="194" spans="2:19" x14ac:dyDescent="0.25">
      <c r="B194" s="447"/>
      <c r="C194" s="503"/>
      <c r="D194" s="572" t="s">
        <v>168</v>
      </c>
      <c r="E194" s="573"/>
      <c r="F194" s="574"/>
      <c r="G194" s="575"/>
      <c r="H194" s="1096"/>
      <c r="I194" s="1097"/>
      <c r="J194" s="576"/>
      <c r="K194" s="573"/>
      <c r="L194" s="577"/>
      <c r="M194" s="576"/>
      <c r="N194" s="578"/>
      <c r="O194" s="578"/>
      <c r="P194" s="579"/>
      <c r="Q194" s="449"/>
      <c r="R194" s="504"/>
      <c r="S194" s="448"/>
    </row>
    <row r="195" spans="2:19" ht="21.75" customHeight="1" x14ac:dyDescent="0.25">
      <c r="B195" s="447"/>
      <c r="C195" s="503"/>
      <c r="D195" s="507" t="s">
        <v>169</v>
      </c>
      <c r="E195" s="567"/>
      <c r="F195" s="568" t="s">
        <v>170</v>
      </c>
      <c r="G195" s="569"/>
      <c r="H195" s="1094"/>
      <c r="I195" s="1095"/>
      <c r="J195" s="1085">
        <f>+IFERROR(HLOOKUP('C.Prestador'!$C$120,ReferenciasP!$C$136:$Q$163,ReferenciasP!A139,0),0)</f>
        <v>0</v>
      </c>
      <c r="K195" s="1086"/>
      <c r="L195" s="1087"/>
      <c r="M195" s="570">
        <f>+IFERROR(HLOOKUP('C.Prestador'!$C$121,ReferenciasP!$C$136:$Q$163,ReferenciasP!A139,0),0)</f>
        <v>0</v>
      </c>
      <c r="N195" s="580"/>
      <c r="O195" s="580"/>
      <c r="P195" s="580"/>
      <c r="Q195" s="449"/>
      <c r="R195" s="504"/>
      <c r="S195" s="448"/>
    </row>
    <row r="196" spans="2:19" ht="21.75" customHeight="1" x14ac:dyDescent="0.25">
      <c r="B196" s="447"/>
      <c r="C196" s="503"/>
      <c r="D196" s="507" t="s">
        <v>171</v>
      </c>
      <c r="E196" s="567"/>
      <c r="F196" s="568" t="s">
        <v>170</v>
      </c>
      <c r="G196" s="569"/>
      <c r="H196" s="1094"/>
      <c r="I196" s="1095"/>
      <c r="J196" s="1085">
        <f>+IFERROR(HLOOKUP('C.Prestador'!$C$120,ReferenciasP!$C$136:$Q$163,ReferenciasP!A140,0),0)</f>
        <v>0</v>
      </c>
      <c r="K196" s="1086"/>
      <c r="L196" s="1087"/>
      <c r="M196" s="570">
        <f>+IFERROR(HLOOKUP('C.Prestador'!$C$121,ReferenciasP!$C$136:$Q$163,ReferenciasP!A140,0),0)</f>
        <v>0</v>
      </c>
      <c r="N196" s="580"/>
      <c r="O196" s="580"/>
      <c r="P196" s="580"/>
      <c r="Q196" s="449"/>
      <c r="R196" s="504"/>
      <c r="S196" s="448"/>
    </row>
    <row r="197" spans="2:19" x14ac:dyDescent="0.25">
      <c r="B197" s="447"/>
      <c r="C197" s="503"/>
      <c r="D197" s="572" t="s">
        <v>172</v>
      </c>
      <c r="E197" s="573"/>
      <c r="F197" s="574"/>
      <c r="G197" s="575"/>
      <c r="H197" s="1096"/>
      <c r="I197" s="1097"/>
      <c r="J197" s="576"/>
      <c r="K197" s="573"/>
      <c r="L197" s="577"/>
      <c r="M197" s="576"/>
      <c r="N197" s="578"/>
      <c r="O197" s="578"/>
      <c r="P197" s="579"/>
      <c r="Q197" s="449"/>
      <c r="R197" s="504"/>
      <c r="S197" s="448"/>
    </row>
    <row r="198" spans="2:19" ht="21.75" customHeight="1" x14ac:dyDescent="0.25">
      <c r="B198" s="447"/>
      <c r="C198" s="503"/>
      <c r="D198" s="507" t="s">
        <v>173</v>
      </c>
      <c r="E198" s="567"/>
      <c r="F198" s="568" t="s">
        <v>174</v>
      </c>
      <c r="G198" s="569"/>
      <c r="H198" s="1094"/>
      <c r="I198" s="1095"/>
      <c r="J198" s="1085">
        <f>+IFERROR(HLOOKUP('C.Prestador'!$C$120,ReferenciasP!$C$136:$Q$163,ReferenciasP!A142,0),0)</f>
        <v>0</v>
      </c>
      <c r="K198" s="1086"/>
      <c r="L198" s="1087"/>
      <c r="M198" s="570">
        <f>+IFERROR(HLOOKUP('C.Prestador'!$C$121,ReferenciasP!$C$136:$Q$163,ReferenciasP!A142,0),0)</f>
        <v>0</v>
      </c>
      <c r="N198" s="580"/>
      <c r="O198" s="580"/>
      <c r="P198" s="580"/>
      <c r="Q198" s="449"/>
      <c r="R198" s="504"/>
      <c r="S198" s="448"/>
    </row>
    <row r="199" spans="2:19" ht="21.75" customHeight="1" x14ac:dyDescent="0.25">
      <c r="B199" s="447"/>
      <c r="C199" s="503"/>
      <c r="D199" s="507" t="s">
        <v>175</v>
      </c>
      <c r="E199" s="567"/>
      <c r="F199" s="568" t="s">
        <v>174</v>
      </c>
      <c r="G199" s="569"/>
      <c r="H199" s="1094"/>
      <c r="I199" s="1095"/>
      <c r="J199" s="1085">
        <f>+IFERROR(HLOOKUP('C.Prestador'!$C$120,ReferenciasP!$C$136:$Q$163,ReferenciasP!A143,0),0)</f>
        <v>0</v>
      </c>
      <c r="K199" s="1086"/>
      <c r="L199" s="1087"/>
      <c r="M199" s="570">
        <f>+IFERROR(HLOOKUP('C.Prestador'!$C$121,ReferenciasP!$C$136:$Q$163,ReferenciasP!A143,0),0)</f>
        <v>0</v>
      </c>
      <c r="N199" s="580"/>
      <c r="O199" s="580"/>
      <c r="P199" s="580"/>
      <c r="Q199" s="449"/>
      <c r="R199" s="504"/>
      <c r="S199" s="448"/>
    </row>
    <row r="200" spans="2:19" ht="21.75" customHeight="1" x14ac:dyDescent="0.25">
      <c r="B200" s="447"/>
      <c r="C200" s="503"/>
      <c r="D200" s="507" t="s">
        <v>176</v>
      </c>
      <c r="E200" s="567"/>
      <c r="F200" s="568" t="s">
        <v>174</v>
      </c>
      <c r="G200" s="569"/>
      <c r="H200" s="1094"/>
      <c r="I200" s="1095"/>
      <c r="J200" s="1085">
        <f>+IFERROR(HLOOKUP('C.Prestador'!$C$120,ReferenciasP!$C$136:$Q$163,ReferenciasP!A144,0),0)</f>
        <v>0</v>
      </c>
      <c r="K200" s="1086"/>
      <c r="L200" s="1087"/>
      <c r="M200" s="570">
        <f>+IFERROR(HLOOKUP('C.Prestador'!$C$121,ReferenciasP!$C$136:$Q$163,ReferenciasP!A144,0),0)</f>
        <v>0</v>
      </c>
      <c r="N200" s="580"/>
      <c r="O200" s="580"/>
      <c r="P200" s="580"/>
      <c r="Q200" s="449"/>
      <c r="R200" s="504"/>
      <c r="S200" s="448"/>
    </row>
    <row r="201" spans="2:19" ht="21.75" customHeight="1" x14ac:dyDescent="0.25">
      <c r="B201" s="447"/>
      <c r="C201" s="503"/>
      <c r="D201" s="507" t="s">
        <v>177</v>
      </c>
      <c r="E201" s="567"/>
      <c r="F201" s="568" t="s">
        <v>174</v>
      </c>
      <c r="G201" s="569"/>
      <c r="H201" s="1094"/>
      <c r="I201" s="1095"/>
      <c r="J201" s="1085">
        <f>+IFERROR(HLOOKUP('C.Prestador'!$C$120,ReferenciasP!$C$136:$Q$163,ReferenciasP!A145,0),0)</f>
        <v>0</v>
      </c>
      <c r="K201" s="1086"/>
      <c r="L201" s="1087"/>
      <c r="M201" s="570">
        <f>+IFERROR(HLOOKUP('C.Prestador'!$C$121,ReferenciasP!$C$136:$Q$163,ReferenciasP!A145,0),0)</f>
        <v>0</v>
      </c>
      <c r="N201" s="580"/>
      <c r="O201" s="580"/>
      <c r="P201" s="580"/>
      <c r="Q201" s="449"/>
      <c r="R201" s="504"/>
      <c r="S201" s="448"/>
    </row>
    <row r="202" spans="2:19" ht="21.75" customHeight="1" x14ac:dyDescent="0.25">
      <c r="B202" s="447"/>
      <c r="C202" s="503"/>
      <c r="D202" s="507" t="s">
        <v>178</v>
      </c>
      <c r="E202" s="567"/>
      <c r="F202" s="568" t="s">
        <v>174</v>
      </c>
      <c r="G202" s="569"/>
      <c r="H202" s="1094"/>
      <c r="I202" s="1095"/>
      <c r="J202" s="1085">
        <f>+IFERROR(HLOOKUP('C.Prestador'!$C$120,ReferenciasP!$C$136:$Q$163,ReferenciasP!A146,0),0)</f>
        <v>0</v>
      </c>
      <c r="K202" s="1086"/>
      <c r="L202" s="1087"/>
      <c r="M202" s="570">
        <f>+IFERROR(HLOOKUP('C.Prestador'!$C$121,ReferenciasP!$C$136:$Q$163,ReferenciasP!A146,0),0)</f>
        <v>0</v>
      </c>
      <c r="N202" s="580"/>
      <c r="O202" s="580"/>
      <c r="P202" s="580"/>
      <c r="Q202" s="449"/>
      <c r="R202" s="504"/>
      <c r="S202" s="448"/>
    </row>
    <row r="203" spans="2:19" ht="21.75" customHeight="1" x14ac:dyDescent="0.25">
      <c r="B203" s="447"/>
      <c r="C203" s="503"/>
      <c r="D203" s="507" t="s">
        <v>179</v>
      </c>
      <c r="E203" s="567"/>
      <c r="F203" s="568" t="s">
        <v>180</v>
      </c>
      <c r="G203" s="569"/>
      <c r="H203" s="1094"/>
      <c r="I203" s="1095"/>
      <c r="J203" s="1085">
        <f>+IFERROR(HLOOKUP('C.Prestador'!$C$120,ReferenciasP!$C$136:$Q$163,ReferenciasP!A147,0),0)</f>
        <v>0</v>
      </c>
      <c r="K203" s="1086"/>
      <c r="L203" s="1087"/>
      <c r="M203" s="570">
        <f>+IFERROR(HLOOKUP('C.Prestador'!$C$121,ReferenciasP!$C$136:$Q$163,ReferenciasP!A147,0),0)</f>
        <v>0</v>
      </c>
      <c r="N203" s="580"/>
      <c r="O203" s="580"/>
      <c r="P203" s="580"/>
      <c r="Q203" s="449"/>
      <c r="R203" s="504"/>
      <c r="S203" s="448"/>
    </row>
    <row r="204" spans="2:19" ht="21.75" customHeight="1" x14ac:dyDescent="0.25">
      <c r="B204" s="447"/>
      <c r="C204" s="503"/>
      <c r="D204" s="507" t="s">
        <v>181</v>
      </c>
      <c r="E204" s="567"/>
      <c r="F204" s="568" t="s">
        <v>174</v>
      </c>
      <c r="G204" s="569"/>
      <c r="H204" s="1094"/>
      <c r="I204" s="1095"/>
      <c r="J204" s="1085">
        <f>+IFERROR(HLOOKUP('C.Prestador'!$C$120,ReferenciasP!$C$136:$Q$163,ReferenciasP!A148,0),0)</f>
        <v>0</v>
      </c>
      <c r="K204" s="1086"/>
      <c r="L204" s="1087"/>
      <c r="M204" s="570">
        <f>+IFERROR(HLOOKUP('C.Prestador'!$C$121,ReferenciasP!$C$136:$Q$163,ReferenciasP!A148,0),0)</f>
        <v>0</v>
      </c>
      <c r="N204" s="580"/>
      <c r="O204" s="580"/>
      <c r="P204" s="580"/>
      <c r="Q204" s="449"/>
      <c r="R204" s="504"/>
      <c r="S204" s="448"/>
    </row>
    <row r="205" spans="2:19" ht="21.75" customHeight="1" x14ac:dyDescent="0.25">
      <c r="B205" s="447"/>
      <c r="C205" s="503"/>
      <c r="D205" s="507" t="s">
        <v>182</v>
      </c>
      <c r="E205" s="567"/>
      <c r="F205" s="568" t="s">
        <v>174</v>
      </c>
      <c r="G205" s="569"/>
      <c r="H205" s="1094"/>
      <c r="I205" s="1095"/>
      <c r="J205" s="1085">
        <f>+IFERROR(HLOOKUP('C.Prestador'!$C$120,ReferenciasP!$C$136:$Q$163,ReferenciasP!A149,0),0)</f>
        <v>0</v>
      </c>
      <c r="K205" s="1086"/>
      <c r="L205" s="1087"/>
      <c r="M205" s="570">
        <f>+IFERROR(HLOOKUP('C.Prestador'!$C$121,ReferenciasP!$C$136:$Q$163,ReferenciasP!A149,0),0)</f>
        <v>0</v>
      </c>
      <c r="N205" s="580"/>
      <c r="O205" s="580"/>
      <c r="P205" s="580"/>
      <c r="Q205" s="449"/>
      <c r="R205" s="504"/>
      <c r="S205" s="448"/>
    </row>
    <row r="206" spans="2:19" ht="21.75" customHeight="1" x14ac:dyDescent="0.25">
      <c r="B206" s="447"/>
      <c r="C206" s="503"/>
      <c r="D206" s="507" t="s">
        <v>183</v>
      </c>
      <c r="E206" s="567"/>
      <c r="F206" s="568" t="s">
        <v>174</v>
      </c>
      <c r="G206" s="569"/>
      <c r="H206" s="1094"/>
      <c r="I206" s="1095"/>
      <c r="J206" s="1085">
        <f>+IFERROR(HLOOKUP('C.Prestador'!$C$120,ReferenciasP!$C$136:$Q$163,ReferenciasP!A150,0),0)</f>
        <v>0</v>
      </c>
      <c r="K206" s="1086"/>
      <c r="L206" s="1087"/>
      <c r="M206" s="570">
        <f>+IFERROR(HLOOKUP('C.Prestador'!$C$121,ReferenciasP!$C$136:$Q$163,ReferenciasP!A150,0),0)</f>
        <v>0</v>
      </c>
      <c r="N206" s="580"/>
      <c r="O206" s="580"/>
      <c r="P206" s="580"/>
      <c r="Q206" s="449"/>
      <c r="R206" s="504"/>
      <c r="S206" s="448"/>
    </row>
    <row r="207" spans="2:19" ht="21.75" customHeight="1" x14ac:dyDescent="0.25">
      <c r="B207" s="447"/>
      <c r="C207" s="503"/>
      <c r="D207" s="507" t="s">
        <v>184</v>
      </c>
      <c r="E207" s="567"/>
      <c r="F207" s="568" t="s">
        <v>174</v>
      </c>
      <c r="G207" s="569"/>
      <c r="H207" s="1094"/>
      <c r="I207" s="1095"/>
      <c r="J207" s="1085">
        <f>+IFERROR(HLOOKUP('C.Prestador'!$C$120,ReferenciasP!$C$136:$Q$163,ReferenciasP!A151,0),0)</f>
        <v>0</v>
      </c>
      <c r="K207" s="1086"/>
      <c r="L207" s="1087"/>
      <c r="M207" s="570">
        <f>+IFERROR(HLOOKUP('C.Prestador'!$C$121,ReferenciasP!$C$136:$Q$163,ReferenciasP!A151,0),0)</f>
        <v>0</v>
      </c>
      <c r="N207" s="580"/>
      <c r="O207" s="580"/>
      <c r="P207" s="580"/>
      <c r="Q207" s="449"/>
      <c r="R207" s="504"/>
      <c r="S207" s="448"/>
    </row>
    <row r="208" spans="2:19" ht="21.75" customHeight="1" x14ac:dyDescent="0.25">
      <c r="B208" s="447"/>
      <c r="C208" s="503"/>
      <c r="D208" s="507" t="s">
        <v>185</v>
      </c>
      <c r="E208" s="567"/>
      <c r="F208" s="568" t="s">
        <v>174</v>
      </c>
      <c r="G208" s="569"/>
      <c r="H208" s="1094"/>
      <c r="I208" s="1095"/>
      <c r="J208" s="1085">
        <f>+IFERROR(HLOOKUP('C.Prestador'!$C$120,ReferenciasP!$C$136:$Q$163,ReferenciasP!A152,0),0)</f>
        <v>0</v>
      </c>
      <c r="K208" s="1086"/>
      <c r="L208" s="1087"/>
      <c r="M208" s="570">
        <f>+IFERROR(HLOOKUP('C.Prestador'!$C$121,ReferenciasP!$C$136:$Q$163,ReferenciasP!A152,0),0)</f>
        <v>0</v>
      </c>
      <c r="N208" s="580"/>
      <c r="O208" s="580"/>
      <c r="P208" s="580"/>
      <c r="Q208" s="449"/>
      <c r="R208" s="504"/>
      <c r="S208" s="448"/>
    </row>
    <row r="209" spans="2:19" ht="21.75" customHeight="1" x14ac:dyDescent="0.25">
      <c r="B209" s="447"/>
      <c r="C209" s="503"/>
      <c r="D209" s="507" t="s">
        <v>186</v>
      </c>
      <c r="E209" s="567"/>
      <c r="F209" s="568" t="s">
        <v>174</v>
      </c>
      <c r="G209" s="569"/>
      <c r="H209" s="1094"/>
      <c r="I209" s="1095"/>
      <c r="J209" s="1085">
        <f>+IFERROR(HLOOKUP('C.Prestador'!$C$120,ReferenciasP!$C$136:$Q$163,ReferenciasP!A153,0),0)</f>
        <v>0</v>
      </c>
      <c r="K209" s="1086"/>
      <c r="L209" s="1087"/>
      <c r="M209" s="570">
        <f>+IFERROR(HLOOKUP('C.Prestador'!$C$121,ReferenciasP!$C$136:$Q$163,ReferenciasP!A153,0),0)</f>
        <v>0</v>
      </c>
      <c r="N209" s="580"/>
      <c r="O209" s="580"/>
      <c r="P209" s="580"/>
      <c r="Q209" s="449"/>
      <c r="R209" s="504"/>
      <c r="S209" s="448"/>
    </row>
    <row r="210" spans="2:19" ht="21.75" customHeight="1" x14ac:dyDescent="0.25">
      <c r="B210" s="447"/>
      <c r="C210" s="503"/>
      <c r="D210" s="507" t="s">
        <v>684</v>
      </c>
      <c r="E210" s="567"/>
      <c r="F210" s="568" t="s">
        <v>174</v>
      </c>
      <c r="G210" s="569"/>
      <c r="H210" s="1094"/>
      <c r="I210" s="1095"/>
      <c r="J210" s="1085">
        <f>+IFERROR(HLOOKUP('C.Prestador'!$C$120,ReferenciasP!$C$136:$Q$164,ReferenciasP!A164,0),0)</f>
        <v>0</v>
      </c>
      <c r="K210" s="1086"/>
      <c r="L210" s="1087"/>
      <c r="M210" s="570">
        <f>+ReferenciasP!N164</f>
        <v>39000</v>
      </c>
      <c r="N210" s="580"/>
      <c r="O210" s="580"/>
      <c r="P210" s="580"/>
      <c r="Q210" s="449"/>
      <c r="R210" s="504"/>
      <c r="S210" s="448"/>
    </row>
    <row r="211" spans="2:19" ht="21.75" customHeight="1" x14ac:dyDescent="0.25">
      <c r="B211" s="447"/>
      <c r="C211" s="503"/>
      <c r="D211" s="507" t="s">
        <v>187</v>
      </c>
      <c r="E211" s="567"/>
      <c r="F211" s="568" t="s">
        <v>174</v>
      </c>
      <c r="G211" s="569"/>
      <c r="H211" s="1094"/>
      <c r="I211" s="1095"/>
      <c r="J211" s="1085">
        <f>+IFERROR(HLOOKUP('C.Prestador'!$C$120,ReferenciasP!$C$136:$Q$163,ReferenciasP!A154,0),0)</f>
        <v>0</v>
      </c>
      <c r="K211" s="1086"/>
      <c r="L211" s="1087"/>
      <c r="M211" s="570">
        <f>+IFERROR(HLOOKUP('C.Prestador'!$C$121,ReferenciasP!$C$136:$Q$163,ReferenciasP!A154,0),0)</f>
        <v>0</v>
      </c>
      <c r="N211" s="580"/>
      <c r="O211" s="580"/>
      <c r="P211" s="580"/>
      <c r="Q211" s="449"/>
      <c r="R211" s="504"/>
      <c r="S211" s="448"/>
    </row>
    <row r="212" spans="2:19" ht="21.75" customHeight="1" x14ac:dyDescent="0.25">
      <c r="B212" s="447"/>
      <c r="C212" s="503"/>
      <c r="D212" s="507" t="s">
        <v>188</v>
      </c>
      <c r="E212" s="567"/>
      <c r="F212" s="568" t="s">
        <v>174</v>
      </c>
      <c r="G212" s="569"/>
      <c r="H212" s="1094"/>
      <c r="I212" s="1095"/>
      <c r="J212" s="1085">
        <f>+IFERROR(HLOOKUP('C.Prestador'!$C$120,ReferenciasP!$C$136:$Q$163,ReferenciasP!A155,0),0)</f>
        <v>0</v>
      </c>
      <c r="K212" s="1086"/>
      <c r="L212" s="1087"/>
      <c r="M212" s="570">
        <f>+IFERROR(HLOOKUP('C.Prestador'!$C$121,ReferenciasP!$C$136:$Q$163,ReferenciasP!A155,0),0)</f>
        <v>0</v>
      </c>
      <c r="N212" s="580"/>
      <c r="O212" s="580"/>
      <c r="P212" s="580"/>
      <c r="Q212" s="449"/>
      <c r="R212" s="504"/>
      <c r="S212" s="448"/>
    </row>
    <row r="213" spans="2:19" ht="21.75" customHeight="1" x14ac:dyDescent="0.25">
      <c r="B213" s="447"/>
      <c r="C213" s="503"/>
      <c r="D213" s="507" t="s">
        <v>189</v>
      </c>
      <c r="E213" s="567"/>
      <c r="F213" s="568" t="s">
        <v>174</v>
      </c>
      <c r="G213" s="569"/>
      <c r="H213" s="1094"/>
      <c r="I213" s="1095"/>
      <c r="J213" s="1085">
        <f>+IFERROR(HLOOKUP('C.Prestador'!$C$120,ReferenciasP!$C$136:$Q$164,ReferenciasP!A156,0),0)</f>
        <v>0</v>
      </c>
      <c r="K213" s="1086"/>
      <c r="L213" s="1087"/>
      <c r="M213" s="570">
        <f>+IFERROR(HLOOKUP('C.Prestador'!$C$121,ReferenciasP!$C$136:$Q$163,ReferenciasP!A156,0),0)</f>
        <v>0</v>
      </c>
      <c r="N213" s="580"/>
      <c r="O213" s="580"/>
      <c r="P213" s="580"/>
      <c r="Q213" s="449"/>
      <c r="R213" s="504"/>
      <c r="S213" s="448"/>
    </row>
    <row r="214" spans="2:19" ht="21.75" customHeight="1" x14ac:dyDescent="0.25">
      <c r="B214" s="447"/>
      <c r="C214" s="503"/>
      <c r="D214" s="507" t="s">
        <v>190</v>
      </c>
      <c r="E214" s="567"/>
      <c r="F214" s="568" t="s">
        <v>191</v>
      </c>
      <c r="G214" s="569"/>
      <c r="H214" s="1094"/>
      <c r="I214" s="1095"/>
      <c r="J214" s="1085">
        <f>+IFERROR(HLOOKUP('C.Prestador'!$C$120,ReferenciasP!$C$136:$Q$163,ReferenciasP!A157,0),0)</f>
        <v>0</v>
      </c>
      <c r="K214" s="1086"/>
      <c r="L214" s="1087"/>
      <c r="M214" s="570">
        <f>+IFERROR(HLOOKUP('C.Prestador'!$C$121,ReferenciasP!$C$136:$Q$163,ReferenciasP!A157,0),0)</f>
        <v>0</v>
      </c>
      <c r="N214" s="580"/>
      <c r="O214" s="580"/>
      <c r="P214" s="580"/>
      <c r="Q214" s="449"/>
      <c r="R214" s="504"/>
      <c r="S214" s="448"/>
    </row>
    <row r="215" spans="2:19" ht="21.75" customHeight="1" x14ac:dyDescent="0.25">
      <c r="B215" s="447"/>
      <c r="C215" s="503"/>
      <c r="D215" s="507" t="s">
        <v>192</v>
      </c>
      <c r="E215" s="567"/>
      <c r="F215" s="568" t="s">
        <v>191</v>
      </c>
      <c r="G215" s="569"/>
      <c r="H215" s="1094"/>
      <c r="I215" s="1095"/>
      <c r="J215" s="1085">
        <f>+IFERROR(HLOOKUP('C.Prestador'!$C$120,ReferenciasP!$C$136:$Q$163,ReferenciasP!A158,0),0)</f>
        <v>1</v>
      </c>
      <c r="K215" s="1086"/>
      <c r="L215" s="1087"/>
      <c r="M215" s="570">
        <f>+IFERROR(HLOOKUP('C.Prestador'!$C$121,ReferenciasP!$C$136:$Q$163,ReferenciasP!A158,0),0)</f>
        <v>0</v>
      </c>
      <c r="N215" s="580"/>
      <c r="O215" s="580"/>
      <c r="P215" s="580"/>
      <c r="Q215" s="449"/>
      <c r="R215" s="504"/>
      <c r="S215" s="448"/>
    </row>
    <row r="216" spans="2:19" ht="21.75" customHeight="1" x14ac:dyDescent="0.25">
      <c r="B216" s="447"/>
      <c r="C216" s="503"/>
      <c r="D216" s="507" t="s">
        <v>193</v>
      </c>
      <c r="E216" s="567"/>
      <c r="F216" s="568" t="s">
        <v>174</v>
      </c>
      <c r="G216" s="569"/>
      <c r="H216" s="1094"/>
      <c r="I216" s="1095"/>
      <c r="J216" s="1085">
        <f>+IFERROR(HLOOKUP('C.Prestador'!$C$120,ReferenciasP!$C$136:$Q$163,ReferenciasP!A159,0),0)</f>
        <v>0</v>
      </c>
      <c r="K216" s="1086"/>
      <c r="L216" s="1087"/>
      <c r="M216" s="570">
        <f>+IFERROR(HLOOKUP('C.Prestador'!$C$121,ReferenciasP!$C$136:$Q$163,ReferenciasP!A159,0),0)</f>
        <v>0</v>
      </c>
      <c r="N216" s="580"/>
      <c r="O216" s="580"/>
      <c r="P216" s="580"/>
      <c r="Q216" s="449"/>
      <c r="R216" s="504"/>
      <c r="S216" s="448"/>
    </row>
    <row r="217" spans="2:19" ht="21.75" customHeight="1" x14ac:dyDescent="0.25">
      <c r="B217" s="447"/>
      <c r="C217" s="503"/>
      <c r="D217" s="507" t="s">
        <v>194</v>
      </c>
      <c r="E217" s="567"/>
      <c r="F217" s="568" t="s">
        <v>174</v>
      </c>
      <c r="G217" s="569"/>
      <c r="H217" s="1094"/>
      <c r="I217" s="1095"/>
      <c r="J217" s="1085">
        <f>+IFERROR(HLOOKUP('C.Prestador'!$C$120,ReferenciasP!$C$136:$Q$163,ReferenciasP!A160,0),0)</f>
        <v>0</v>
      </c>
      <c r="K217" s="1086"/>
      <c r="L217" s="1087"/>
      <c r="M217" s="570">
        <f>+IFERROR(HLOOKUP('C.Prestador'!$C$121,ReferenciasP!$C$136:$Q$163,ReferenciasP!A160,0),0)</f>
        <v>0</v>
      </c>
      <c r="N217" s="580"/>
      <c r="O217" s="580"/>
      <c r="P217" s="580"/>
      <c r="Q217" s="449"/>
      <c r="R217" s="504"/>
      <c r="S217" s="448"/>
    </row>
    <row r="218" spans="2:19" ht="21.75" customHeight="1" x14ac:dyDescent="0.25">
      <c r="B218" s="447"/>
      <c r="C218" s="503"/>
      <c r="D218" s="507" t="s">
        <v>195</v>
      </c>
      <c r="E218" s="567"/>
      <c r="F218" s="568" t="s">
        <v>174</v>
      </c>
      <c r="G218" s="569"/>
      <c r="H218" s="1094"/>
      <c r="I218" s="1095"/>
      <c r="J218" s="1085">
        <f>+IFERROR(HLOOKUP('C.Prestador'!$C$120,ReferenciasP!$C$136:$Q$163,ReferenciasP!A161,0),0)</f>
        <v>0</v>
      </c>
      <c r="K218" s="1086"/>
      <c r="L218" s="1087"/>
      <c r="M218" s="570">
        <f>+IFERROR(HLOOKUP('C.Prestador'!$C$121,ReferenciasP!$C$136:$Q$163,ReferenciasP!A161,0),0)</f>
        <v>0</v>
      </c>
      <c r="N218" s="580"/>
      <c r="O218" s="580"/>
      <c r="P218" s="580"/>
      <c r="Q218" s="449"/>
      <c r="R218" s="504"/>
      <c r="S218" s="448"/>
    </row>
    <row r="219" spans="2:19" ht="21.75" customHeight="1" x14ac:dyDescent="0.25">
      <c r="B219" s="447"/>
      <c r="C219" s="503"/>
      <c r="D219" s="507" t="s">
        <v>196</v>
      </c>
      <c r="E219" s="567"/>
      <c r="F219" s="568" t="s">
        <v>174</v>
      </c>
      <c r="G219" s="569"/>
      <c r="H219" s="1094"/>
      <c r="I219" s="1095"/>
      <c r="J219" s="1085">
        <f>+IFERROR(HLOOKUP('C.Prestador'!$C$120,ReferenciasP!$C$136:$Q$163,ReferenciasP!A162,0),0)</f>
        <v>0</v>
      </c>
      <c r="K219" s="1086"/>
      <c r="L219" s="1087"/>
      <c r="M219" s="570">
        <f>+IFERROR(HLOOKUP('C.Prestador'!$C$121,ReferenciasP!$C$136:$Q$163,ReferenciasP!A162,0),0)</f>
        <v>0</v>
      </c>
      <c r="N219" s="580"/>
      <c r="O219" s="580"/>
      <c r="P219" s="580"/>
      <c r="Q219" s="449"/>
      <c r="R219" s="504"/>
      <c r="S219" s="448"/>
    </row>
    <row r="220" spans="2:19" ht="21.75" customHeight="1" x14ac:dyDescent="0.25">
      <c r="B220" s="447"/>
      <c r="C220" s="503"/>
      <c r="D220" s="507" t="s">
        <v>197</v>
      </c>
      <c r="E220" s="567"/>
      <c r="F220" s="568" t="s">
        <v>191</v>
      </c>
      <c r="G220" s="569"/>
      <c r="H220" s="1094"/>
      <c r="I220" s="1095"/>
      <c r="J220" s="1085">
        <f>+IFERROR(HLOOKUP('C.Prestador'!$C$120,ReferenciasP!$C$136:$Q$163,ReferenciasP!A163,0),0)</f>
        <v>0</v>
      </c>
      <c r="K220" s="1086"/>
      <c r="L220" s="1087"/>
      <c r="M220" s="570">
        <f>+IFERROR(HLOOKUP('C.Prestador'!$C$121,ReferenciasP!$C$136:$Q$163,ReferenciasP!A163,0),0)</f>
        <v>0</v>
      </c>
      <c r="N220" s="580"/>
      <c r="O220" s="580"/>
      <c r="P220" s="580"/>
      <c r="Q220" s="449"/>
      <c r="R220" s="504"/>
      <c r="S220" s="448"/>
    </row>
    <row r="221" spans="2:19" x14ac:dyDescent="0.25">
      <c r="B221" s="447"/>
      <c r="C221" s="510"/>
      <c r="D221" s="511"/>
      <c r="E221" s="511"/>
      <c r="F221" s="511"/>
      <c r="G221" s="511"/>
      <c r="H221" s="511"/>
      <c r="I221" s="511"/>
      <c r="J221" s="511"/>
      <c r="K221" s="511"/>
      <c r="L221" s="511"/>
      <c r="M221" s="511"/>
      <c r="N221" s="511"/>
      <c r="O221" s="511"/>
      <c r="P221" s="511"/>
      <c r="Q221" s="511"/>
      <c r="R221" s="512"/>
      <c r="S221" s="448"/>
    </row>
    <row r="222" spans="2:19" x14ac:dyDescent="0.25">
      <c r="B222" s="447"/>
      <c r="C222" s="449"/>
      <c r="D222" s="449"/>
      <c r="E222" s="449"/>
      <c r="F222" s="449"/>
      <c r="G222" s="449"/>
      <c r="H222" s="449"/>
      <c r="I222" s="449"/>
      <c r="J222" s="449"/>
      <c r="K222" s="449"/>
      <c r="L222" s="449"/>
      <c r="M222" s="449"/>
      <c r="N222" s="449"/>
      <c r="O222" s="449"/>
      <c r="P222" s="449"/>
      <c r="Q222" s="449"/>
      <c r="R222" s="449"/>
      <c r="S222" s="448"/>
    </row>
    <row r="223" spans="2:19" x14ac:dyDescent="0.25">
      <c r="B223" s="447"/>
      <c r="C223" s="500"/>
      <c r="D223" s="501"/>
      <c r="E223" s="501"/>
      <c r="F223" s="501"/>
      <c r="G223" s="501"/>
      <c r="H223" s="501"/>
      <c r="I223" s="501"/>
      <c r="J223" s="501"/>
      <c r="K223" s="501"/>
      <c r="L223" s="501"/>
      <c r="M223" s="501"/>
      <c r="N223" s="501"/>
      <c r="O223" s="501"/>
      <c r="P223" s="501"/>
      <c r="Q223" s="501"/>
      <c r="R223" s="502"/>
      <c r="S223" s="448"/>
    </row>
    <row r="224" spans="2:19" ht="18.75" x14ac:dyDescent="0.25">
      <c r="B224" s="447"/>
      <c r="C224" s="503"/>
      <c r="D224" s="449"/>
      <c r="E224" s="1088" t="s">
        <v>144</v>
      </c>
      <c r="F224" s="1089"/>
      <c r="G224" s="1089"/>
      <c r="H224" s="1089"/>
      <c r="I224" s="1089"/>
      <c r="J224" s="1089"/>
      <c r="K224" s="1089"/>
      <c r="L224" s="1089"/>
      <c r="M224" s="1089"/>
      <c r="N224" s="1089"/>
      <c r="O224" s="1089"/>
      <c r="P224" s="1090"/>
      <c r="Q224" s="449"/>
      <c r="R224" s="504"/>
      <c r="S224" s="448"/>
    </row>
    <row r="225" spans="2:19" ht="34.5" customHeight="1" x14ac:dyDescent="0.25">
      <c r="B225" s="447"/>
      <c r="C225" s="503"/>
      <c r="D225" s="449"/>
      <c r="E225" s="1093" t="s">
        <v>505</v>
      </c>
      <c r="F225" s="1093"/>
      <c r="G225" s="1093"/>
      <c r="H225" s="1093"/>
      <c r="I225" s="1093"/>
      <c r="J225" s="1093"/>
      <c r="K225" s="1093"/>
      <c r="L225" s="1093"/>
      <c r="M225" s="1093"/>
      <c r="N225" s="1093"/>
      <c r="O225" s="1093"/>
      <c r="P225" s="1093"/>
      <c r="Q225" s="513"/>
      <c r="R225" s="504"/>
      <c r="S225" s="448"/>
    </row>
    <row r="226" spans="2:19" x14ac:dyDescent="0.25">
      <c r="B226" s="447"/>
      <c r="C226" s="503"/>
      <c r="D226" s="449"/>
      <c r="E226" s="449"/>
      <c r="F226" s="449"/>
      <c r="G226" s="449"/>
      <c r="H226" s="449"/>
      <c r="I226" s="449"/>
      <c r="J226" s="449"/>
      <c r="K226" s="449"/>
      <c r="L226" s="449"/>
      <c r="M226" s="449"/>
      <c r="N226" s="449"/>
      <c r="O226" s="449"/>
      <c r="P226" s="449"/>
      <c r="Q226" s="449"/>
      <c r="R226" s="504"/>
      <c r="S226" s="448"/>
    </row>
    <row r="227" spans="2:19" ht="49.5" customHeight="1" x14ac:dyDescent="0.25">
      <c r="B227" s="447"/>
      <c r="C227" s="503"/>
      <c r="D227" s="449"/>
      <c r="E227" s="581" t="s">
        <v>145</v>
      </c>
      <c r="F227" s="582"/>
      <c r="G227" s="581" t="s">
        <v>165</v>
      </c>
      <c r="H227" s="1072" t="s">
        <v>358</v>
      </c>
      <c r="I227" s="1074"/>
      <c r="J227" s="1072" t="s">
        <v>281</v>
      </c>
      <c r="K227" s="1073"/>
      <c r="L227" s="1074"/>
      <c r="M227" s="506" t="s">
        <v>125</v>
      </c>
      <c r="N227" s="583" t="s">
        <v>424</v>
      </c>
      <c r="O227" s="506" t="s">
        <v>137</v>
      </c>
      <c r="P227" s="449"/>
      <c r="Q227" s="449"/>
      <c r="R227" s="504"/>
      <c r="S227" s="448"/>
    </row>
    <row r="228" spans="2:19" ht="28.5" customHeight="1" x14ac:dyDescent="0.25">
      <c r="B228" s="447"/>
      <c r="C228" s="503"/>
      <c r="D228" s="449"/>
      <c r="E228" s="507" t="s">
        <v>200</v>
      </c>
      <c r="F228" s="567"/>
      <c r="G228" s="507" t="s">
        <v>364</v>
      </c>
      <c r="H228" s="1091"/>
      <c r="I228" s="1092"/>
      <c r="J228" s="1081">
        <f>IFERROR(IF('Datos Generales'!K11="Moneda local",HLOOKUP('C.Prestador'!C120,ReferenciasP!C120:E133,ReferenciasP!A129,0),HLOOKUP('C.Prestador'!C120,ReferenciasP!C120:E133,ReferenciasP!A128,0)),0)</f>
        <v>1.82</v>
      </c>
      <c r="K228" s="1082"/>
      <c r="L228" s="1083"/>
      <c r="M228" s="584"/>
      <c r="N228" s="584"/>
      <c r="O228" s="584"/>
      <c r="P228" s="449"/>
      <c r="Q228" s="449"/>
      <c r="R228" s="504"/>
      <c r="S228" s="448"/>
    </row>
    <row r="229" spans="2:19" ht="28.5" customHeight="1" x14ac:dyDescent="0.25">
      <c r="B229" s="447"/>
      <c r="C229" s="503"/>
      <c r="D229" s="449"/>
      <c r="E229" s="507" t="s">
        <v>688</v>
      </c>
      <c r="F229" s="567"/>
      <c r="G229" s="585" t="s">
        <v>408</v>
      </c>
      <c r="H229" s="1079"/>
      <c r="I229" s="1080"/>
      <c r="J229" s="1081" t="e">
        <f>IFERROR(HLOOKUP('C.Prestador'!C120,ReferenciasP!C120:E133,ReferenciasP!A130,0),0)*'C.PrestadorRef'!H128/'C.Prestador'!C114</f>
        <v>#DIV/0!</v>
      </c>
      <c r="K229" s="1082"/>
      <c r="L229" s="1083"/>
      <c r="M229" s="537"/>
      <c r="N229" s="537"/>
      <c r="O229" s="537"/>
      <c r="P229" s="449"/>
      <c r="Q229" s="449"/>
      <c r="R229" s="504"/>
      <c r="S229" s="448"/>
    </row>
    <row r="230" spans="2:19" ht="28.5" customHeight="1" x14ac:dyDescent="0.25">
      <c r="B230" s="447"/>
      <c r="C230" s="503"/>
      <c r="D230" s="449"/>
      <c r="E230" s="507" t="s">
        <v>689</v>
      </c>
      <c r="F230" s="567"/>
      <c r="G230" s="585" t="s">
        <v>408</v>
      </c>
      <c r="H230" s="1079"/>
      <c r="I230" s="1080"/>
      <c r="J230" s="1081" t="e">
        <f>IFERROR(HLOOKUP('C.Prestador'!C120,ReferenciasP!C120:E133,ReferenciasP!A131,0),0)*'C.PrestadorRef'!H128/'C.Prestador'!C114</f>
        <v>#DIV/0!</v>
      </c>
      <c r="K230" s="1082"/>
      <c r="L230" s="1083"/>
      <c r="M230" s="537"/>
      <c r="N230" s="537"/>
      <c r="O230" s="537"/>
      <c r="P230" s="449"/>
      <c r="Q230" s="449"/>
      <c r="R230" s="504"/>
      <c r="S230" s="448"/>
    </row>
    <row r="231" spans="2:19" x14ac:dyDescent="0.25">
      <c r="B231" s="447"/>
      <c r="C231" s="510"/>
      <c r="D231" s="511"/>
      <c r="E231" s="511"/>
      <c r="F231" s="511"/>
      <c r="G231" s="511"/>
      <c r="H231" s="511"/>
      <c r="I231" s="511"/>
      <c r="J231" s="511"/>
      <c r="K231" s="511"/>
      <c r="L231" s="511"/>
      <c r="M231" s="511"/>
      <c r="N231" s="511"/>
      <c r="O231" s="511"/>
      <c r="P231" s="511"/>
      <c r="Q231" s="511"/>
      <c r="R231" s="512"/>
      <c r="S231" s="448"/>
    </row>
    <row r="232" spans="2:19" x14ac:dyDescent="0.25">
      <c r="B232" s="447"/>
      <c r="C232" s="449"/>
      <c r="D232" s="449"/>
      <c r="E232" s="449"/>
      <c r="F232" s="449"/>
      <c r="G232" s="449"/>
      <c r="H232" s="449"/>
      <c r="I232" s="449"/>
      <c r="J232" s="449"/>
      <c r="K232" s="449"/>
      <c r="L232" s="449"/>
      <c r="M232" s="449"/>
      <c r="N232" s="449"/>
      <c r="O232" s="449"/>
      <c r="P232" s="449"/>
      <c r="Q232" s="449"/>
      <c r="R232" s="449"/>
      <c r="S232" s="448"/>
    </row>
    <row r="233" spans="2:19" x14ac:dyDescent="0.25">
      <c r="B233" s="447"/>
      <c r="C233" s="449"/>
      <c r="D233" s="449"/>
      <c r="E233" s="449"/>
      <c r="F233" s="449"/>
      <c r="G233" s="449"/>
      <c r="H233" s="449"/>
      <c r="I233" s="449"/>
      <c r="J233" s="449"/>
      <c r="K233" s="449"/>
      <c r="L233" s="449"/>
      <c r="M233" s="449"/>
      <c r="N233" s="449"/>
      <c r="O233" s="449"/>
      <c r="P233" s="449"/>
      <c r="Q233" s="449"/>
      <c r="R233" s="449"/>
      <c r="S233" s="448"/>
    </row>
    <row r="234" spans="2:19" x14ac:dyDescent="0.25">
      <c r="B234" s="447"/>
      <c r="C234" s="500"/>
      <c r="D234" s="501"/>
      <c r="E234" s="501"/>
      <c r="F234" s="501"/>
      <c r="G234" s="501"/>
      <c r="H234" s="501"/>
      <c r="I234" s="501"/>
      <c r="J234" s="501"/>
      <c r="K234" s="501"/>
      <c r="L234" s="501"/>
      <c r="M234" s="501"/>
      <c r="N234" s="501"/>
      <c r="O234" s="501"/>
      <c r="P234" s="501"/>
      <c r="Q234" s="501"/>
      <c r="R234" s="502"/>
      <c r="S234" s="448"/>
    </row>
    <row r="235" spans="2:19" ht="18.75" x14ac:dyDescent="0.25">
      <c r="B235" s="447"/>
      <c r="C235" s="503"/>
      <c r="D235" s="449"/>
      <c r="E235" s="1062" t="s">
        <v>143</v>
      </c>
      <c r="F235" s="1062"/>
      <c r="G235" s="1062"/>
      <c r="H235" s="1062"/>
      <c r="I235" s="1062"/>
      <c r="J235" s="1062"/>
      <c r="K235" s="1062"/>
      <c r="L235" s="1062"/>
      <c r="M235" s="1062"/>
      <c r="N235" s="1062"/>
      <c r="O235" s="1062"/>
      <c r="P235" s="1062"/>
      <c r="Q235" s="513"/>
      <c r="R235" s="504"/>
      <c r="S235" s="448"/>
    </row>
    <row r="236" spans="2:19" x14ac:dyDescent="0.25">
      <c r="B236" s="447"/>
      <c r="C236" s="503"/>
      <c r="D236" s="449"/>
      <c r="E236" s="449"/>
      <c r="F236" s="449"/>
      <c r="G236" s="449"/>
      <c r="H236" s="449"/>
      <c r="I236" s="449"/>
      <c r="J236" s="449"/>
      <c r="K236" s="449"/>
      <c r="L236" s="449"/>
      <c r="M236" s="449"/>
      <c r="N236" s="449"/>
      <c r="O236" s="449"/>
      <c r="P236" s="449"/>
      <c r="Q236" s="449"/>
      <c r="R236" s="504"/>
      <c r="S236" s="448"/>
    </row>
    <row r="237" spans="2:19" ht="14.45" customHeight="1" x14ac:dyDescent="0.25">
      <c r="B237" s="447"/>
      <c r="C237" s="503"/>
      <c r="D237" s="449"/>
      <c r="E237" s="1084" t="s">
        <v>506</v>
      </c>
      <c r="F237" s="1084"/>
      <c r="G237" s="1084"/>
      <c r="H237" s="1084"/>
      <c r="I237" s="1084"/>
      <c r="J237" s="1084"/>
      <c r="K237" s="1084"/>
      <c r="L237" s="1084"/>
      <c r="M237" s="1084"/>
      <c r="N237" s="1084"/>
      <c r="O237" s="1084"/>
      <c r="P237" s="1084"/>
      <c r="Q237" s="1084"/>
      <c r="R237" s="504"/>
      <c r="S237" s="448"/>
    </row>
    <row r="238" spans="2:19" x14ac:dyDescent="0.25">
      <c r="B238" s="447"/>
      <c r="C238" s="503"/>
      <c r="D238" s="449"/>
      <c r="E238" s="449"/>
      <c r="F238" s="449"/>
      <c r="G238" s="449"/>
      <c r="H238" s="449"/>
      <c r="I238" s="449"/>
      <c r="J238" s="449"/>
      <c r="K238" s="449"/>
      <c r="L238" s="449"/>
      <c r="M238" s="449"/>
      <c r="N238" s="449"/>
      <c r="O238" s="449"/>
      <c r="P238" s="449"/>
      <c r="Q238" s="449"/>
      <c r="R238" s="504"/>
      <c r="S238" s="448"/>
    </row>
    <row r="239" spans="2:19" ht="41.25" customHeight="1" x14ac:dyDescent="0.25">
      <c r="B239" s="447"/>
      <c r="C239" s="503"/>
      <c r="D239" s="449"/>
      <c r="E239" s="1061" t="s">
        <v>145</v>
      </c>
      <c r="F239" s="1061"/>
      <c r="G239" s="1061"/>
      <c r="H239" s="1061" t="s">
        <v>165</v>
      </c>
      <c r="I239" s="1061"/>
      <c r="J239" s="1061" t="s">
        <v>358</v>
      </c>
      <c r="K239" s="1061"/>
      <c r="L239" s="1061"/>
      <c r="M239" s="583" t="s">
        <v>281</v>
      </c>
      <c r="N239" s="506" t="s">
        <v>125</v>
      </c>
      <c r="O239" s="583" t="s">
        <v>424</v>
      </c>
      <c r="P239" s="506" t="s">
        <v>137</v>
      </c>
      <c r="Q239" s="449"/>
      <c r="R239" s="504"/>
      <c r="S239" s="448"/>
    </row>
    <row r="240" spans="2:19" ht="23.25" customHeight="1" x14ac:dyDescent="0.25">
      <c r="B240" s="447"/>
      <c r="C240" s="503"/>
      <c r="D240" s="449"/>
      <c r="E240" s="1075" t="s">
        <v>204</v>
      </c>
      <c r="F240" s="1075"/>
      <c r="G240" s="1075"/>
      <c r="H240" s="1076" t="s">
        <v>359</v>
      </c>
      <c r="I240" s="1076"/>
      <c r="J240" s="1077"/>
      <c r="K240" s="1077"/>
      <c r="L240" s="1077"/>
      <c r="M240" s="586">
        <f>IFERROR(IF('Datos Generales'!K11="Moneda local",HLOOKUP('C.Prestador'!C120,ReferenciasP!C120:E133,ReferenciasP!A126,0),HLOOKUP('C.Prestador'!C120,ReferenciasP!C120:E133,ReferenciasP!A125,0)),0)</f>
        <v>4.05</v>
      </c>
      <c r="N240" s="584"/>
      <c r="O240" s="537"/>
      <c r="P240" s="537"/>
      <c r="Q240" s="449"/>
      <c r="R240" s="504"/>
      <c r="S240" s="448"/>
    </row>
    <row r="241" spans="2:19" ht="29.25" customHeight="1" x14ac:dyDescent="0.25">
      <c r="B241" s="447"/>
      <c r="C241" s="503"/>
      <c r="D241" s="449"/>
      <c r="E241" s="1075" t="s">
        <v>205</v>
      </c>
      <c r="F241" s="1075"/>
      <c r="G241" s="1075"/>
      <c r="H241" s="1066" t="s">
        <v>408</v>
      </c>
      <c r="I241" s="1066"/>
      <c r="J241" s="1078"/>
      <c r="K241" s="1078"/>
      <c r="L241" s="1078"/>
      <c r="M241" s="586" t="e">
        <f>IFERROR(HLOOKUP('C.Prestador'!C120,ReferenciasP!C120:E133,ReferenciasP!A127,0),0)*'C.PrestadorRef'!H128/'C.Prestador'!C114</f>
        <v>#DIV/0!</v>
      </c>
      <c r="N241" s="537"/>
      <c r="O241" s="537"/>
      <c r="P241" s="537"/>
      <c r="Q241" s="449"/>
      <c r="R241" s="504"/>
      <c r="S241" s="448"/>
    </row>
    <row r="242" spans="2:19" x14ac:dyDescent="0.25">
      <c r="B242" s="447"/>
      <c r="C242" s="510"/>
      <c r="D242" s="511"/>
      <c r="E242" s="511"/>
      <c r="F242" s="511"/>
      <c r="G242" s="511"/>
      <c r="H242" s="511"/>
      <c r="I242" s="511"/>
      <c r="J242" s="511"/>
      <c r="K242" s="511"/>
      <c r="L242" s="511"/>
      <c r="M242" s="511"/>
      <c r="N242" s="511"/>
      <c r="O242" s="511"/>
      <c r="P242" s="511"/>
      <c r="Q242" s="511"/>
      <c r="R242" s="512"/>
      <c r="S242" s="448"/>
    </row>
    <row r="243" spans="2:19" ht="15.75" thickBot="1" x14ac:dyDescent="0.3">
      <c r="B243" s="538"/>
      <c r="C243" s="539"/>
      <c r="D243" s="539"/>
      <c r="E243" s="539"/>
      <c r="F243" s="539"/>
      <c r="G243" s="539"/>
      <c r="H243" s="539"/>
      <c r="I243" s="539"/>
      <c r="J243" s="539"/>
      <c r="K243" s="539"/>
      <c r="L243" s="539"/>
      <c r="M243" s="539"/>
      <c r="N243" s="539"/>
      <c r="O243" s="539"/>
      <c r="P243" s="539"/>
      <c r="Q243" s="539"/>
      <c r="R243" s="539"/>
      <c r="S243" s="540"/>
    </row>
    <row r="244" spans="2:19" s="438" customFormat="1" ht="15.75" thickBot="1" x14ac:dyDescent="0.3"/>
    <row r="245" spans="2:19" ht="14.25" customHeight="1" x14ac:dyDescent="0.25">
      <c r="B245" s="443"/>
      <c r="C245" s="444"/>
      <c r="D245" s="444"/>
      <c r="E245" s="444"/>
      <c r="F245" s="444"/>
      <c r="G245" s="444"/>
      <c r="H245" s="444"/>
      <c r="I245" s="444"/>
      <c r="J245" s="444"/>
      <c r="K245" s="444"/>
      <c r="L245" s="444"/>
      <c r="M245" s="444"/>
      <c r="N245" s="444"/>
      <c r="O245" s="444"/>
      <c r="P245" s="444"/>
      <c r="Q245" s="444"/>
      <c r="R245" s="444"/>
      <c r="S245" s="445"/>
    </row>
    <row r="246" spans="2:19" ht="23.25" x14ac:dyDescent="0.25">
      <c r="B246" s="447"/>
      <c r="C246" s="1067" t="s">
        <v>209</v>
      </c>
      <c r="D246" s="1067"/>
      <c r="E246" s="1067"/>
      <c r="F246" s="1067"/>
      <c r="G246" s="1067"/>
      <c r="H246" s="1067"/>
      <c r="I246" s="1067"/>
      <c r="J246" s="1067"/>
      <c r="K246" s="1067"/>
      <c r="L246" s="1067"/>
      <c r="M246" s="1067"/>
      <c r="N246" s="1067"/>
      <c r="O246" s="1067"/>
      <c r="P246" s="1067"/>
      <c r="Q246" s="1067"/>
      <c r="R246" s="1067"/>
      <c r="S246" s="448"/>
    </row>
    <row r="247" spans="2:19" ht="17.25" customHeight="1" x14ac:dyDescent="0.25">
      <c r="B247" s="447"/>
      <c r="C247" s="449"/>
      <c r="D247" s="449"/>
      <c r="E247" s="449"/>
      <c r="F247" s="449"/>
      <c r="G247" s="449"/>
      <c r="H247" s="449"/>
      <c r="I247" s="449"/>
      <c r="J247" s="449"/>
      <c r="K247" s="449"/>
      <c r="L247" s="449"/>
      <c r="M247" s="449"/>
      <c r="N247" s="449"/>
      <c r="O247" s="449"/>
      <c r="P247" s="449"/>
      <c r="Q247" s="449"/>
      <c r="R247" s="449"/>
      <c r="S247" s="448"/>
    </row>
    <row r="248" spans="2:19" ht="11.25" customHeight="1" x14ac:dyDescent="0.25">
      <c r="B248" s="447"/>
      <c r="C248" s="500"/>
      <c r="D248" s="501"/>
      <c r="E248" s="501"/>
      <c r="F248" s="501"/>
      <c r="G248" s="501"/>
      <c r="H248" s="501"/>
      <c r="I248" s="501"/>
      <c r="J248" s="501"/>
      <c r="K248" s="501"/>
      <c r="L248" s="501"/>
      <c r="M248" s="501"/>
      <c r="N248" s="501"/>
      <c r="O248" s="501"/>
      <c r="P248" s="501"/>
      <c r="Q248" s="501"/>
      <c r="R248" s="502"/>
      <c r="S248" s="448"/>
    </row>
    <row r="249" spans="2:19" ht="18.75" x14ac:dyDescent="0.25">
      <c r="B249" s="447"/>
      <c r="C249" s="503"/>
      <c r="D249" s="449"/>
      <c r="E249" s="1062" t="s">
        <v>207</v>
      </c>
      <c r="F249" s="1062"/>
      <c r="G249" s="1062"/>
      <c r="H249" s="1062"/>
      <c r="I249" s="1062"/>
      <c r="J249" s="1062"/>
      <c r="K249" s="1062"/>
      <c r="L249" s="1062"/>
      <c r="M249" s="1062"/>
      <c r="N249" s="1062"/>
      <c r="O249" s="1062"/>
      <c r="P249" s="1062"/>
      <c r="Q249" s="449"/>
      <c r="R249" s="504"/>
      <c r="S249" s="448"/>
    </row>
    <row r="250" spans="2:19" x14ac:dyDescent="0.25">
      <c r="B250" s="447"/>
      <c r="C250" s="503"/>
      <c r="D250" s="449"/>
      <c r="E250" s="449" t="s">
        <v>507</v>
      </c>
      <c r="Q250" s="513"/>
      <c r="R250" s="504"/>
      <c r="S250" s="448"/>
    </row>
    <row r="251" spans="2:19" x14ac:dyDescent="0.25">
      <c r="B251" s="447"/>
      <c r="C251" s="503"/>
      <c r="D251" s="449"/>
      <c r="E251" s="449"/>
      <c r="F251" s="449"/>
      <c r="G251" s="449"/>
      <c r="H251" s="449"/>
      <c r="I251" s="449"/>
      <c r="J251" s="449"/>
      <c r="K251" s="449"/>
      <c r="L251" s="449"/>
      <c r="M251" s="449"/>
      <c r="N251" s="449"/>
      <c r="O251" s="449"/>
      <c r="P251" s="449"/>
      <c r="Q251" s="449"/>
      <c r="R251" s="504"/>
      <c r="S251" s="448"/>
    </row>
    <row r="252" spans="2:19" ht="51" customHeight="1" x14ac:dyDescent="0.25">
      <c r="B252" s="447"/>
      <c r="C252" s="503"/>
      <c r="D252" s="449"/>
      <c r="E252" s="1061" t="s">
        <v>145</v>
      </c>
      <c r="F252" s="1061"/>
      <c r="G252" s="1061"/>
      <c r="H252" s="1061" t="s">
        <v>165</v>
      </c>
      <c r="I252" s="1061"/>
      <c r="J252" s="1061" t="s">
        <v>358</v>
      </c>
      <c r="K252" s="1061"/>
      <c r="L252" s="1061" t="s">
        <v>281</v>
      </c>
      <c r="M252" s="1061"/>
      <c r="N252" s="506" t="s">
        <v>468</v>
      </c>
      <c r="O252" s="583" t="s">
        <v>424</v>
      </c>
      <c r="P252" s="506" t="s">
        <v>137</v>
      </c>
      <c r="Q252" s="449"/>
      <c r="R252" s="504"/>
      <c r="S252" s="448"/>
    </row>
    <row r="253" spans="2:19" ht="37.5" customHeight="1" x14ac:dyDescent="0.25">
      <c r="B253" s="447"/>
      <c r="C253" s="503"/>
      <c r="D253" s="449"/>
      <c r="E253" s="1068" t="s">
        <v>208</v>
      </c>
      <c r="F253" s="1068"/>
      <c r="G253" s="1068"/>
      <c r="H253" s="1069" t="s">
        <v>686</v>
      </c>
      <c r="I253" s="1069"/>
      <c r="J253" s="1070"/>
      <c r="K253" s="1070"/>
      <c r="L253" s="1071">
        <v>0.14000000000000001</v>
      </c>
      <c r="M253" s="1071"/>
      <c r="N253" s="537"/>
      <c r="O253" s="537"/>
      <c r="P253" s="537"/>
      <c r="Q253" s="449"/>
      <c r="R253" s="504"/>
      <c r="S253" s="448"/>
    </row>
    <row r="254" spans="2:19" x14ac:dyDescent="0.25">
      <c r="B254" s="447"/>
      <c r="C254" s="510"/>
      <c r="D254" s="511"/>
      <c r="E254" s="511"/>
      <c r="F254" s="511"/>
      <c r="G254" s="511"/>
      <c r="H254" s="511"/>
      <c r="I254" s="511"/>
      <c r="J254" s="511"/>
      <c r="K254" s="511"/>
      <c r="L254" s="511"/>
      <c r="M254" s="511"/>
      <c r="N254" s="511"/>
      <c r="O254" s="511"/>
      <c r="P254" s="511"/>
      <c r="Q254" s="511"/>
      <c r="R254" s="512"/>
      <c r="S254" s="448"/>
    </row>
    <row r="255" spans="2:19" x14ac:dyDescent="0.25">
      <c r="B255" s="447"/>
      <c r="C255" s="449"/>
      <c r="D255" s="449"/>
      <c r="E255" s="449"/>
      <c r="F255" s="449"/>
      <c r="G255" s="449"/>
      <c r="H255" s="449"/>
      <c r="I255" s="449"/>
      <c r="J255" s="449"/>
      <c r="K255" s="449"/>
      <c r="L255" s="449"/>
      <c r="M255" s="449"/>
      <c r="N255" s="449"/>
      <c r="O255" s="449"/>
      <c r="P255" s="449"/>
      <c r="Q255" s="449"/>
      <c r="R255" s="449"/>
      <c r="S255" s="448"/>
    </row>
    <row r="256" spans="2:19" x14ac:dyDescent="0.25">
      <c r="B256" s="447"/>
      <c r="C256" s="500"/>
      <c r="D256" s="501"/>
      <c r="E256" s="501"/>
      <c r="F256" s="501"/>
      <c r="G256" s="501"/>
      <c r="H256" s="501"/>
      <c r="I256" s="501"/>
      <c r="J256" s="501"/>
      <c r="K256" s="501"/>
      <c r="L256" s="501"/>
      <c r="M256" s="501"/>
      <c r="N256" s="501"/>
      <c r="O256" s="501"/>
      <c r="P256" s="501"/>
      <c r="Q256" s="501"/>
      <c r="R256" s="502"/>
      <c r="S256" s="448"/>
    </row>
    <row r="257" spans="2:19" ht="18.75" x14ac:dyDescent="0.25">
      <c r="B257" s="447"/>
      <c r="C257" s="503"/>
      <c r="D257" s="449"/>
      <c r="E257" s="1062" t="s">
        <v>284</v>
      </c>
      <c r="F257" s="1062"/>
      <c r="G257" s="1062"/>
      <c r="H257" s="1062"/>
      <c r="I257" s="1062"/>
      <c r="J257" s="1062"/>
      <c r="K257" s="1062"/>
      <c r="L257" s="1062"/>
      <c r="M257" s="1062"/>
      <c r="N257" s="1062"/>
      <c r="O257" s="1062"/>
      <c r="P257" s="1062"/>
      <c r="Q257" s="449"/>
      <c r="R257" s="504"/>
      <c r="S257" s="448"/>
    </row>
    <row r="258" spans="2:19" x14ac:dyDescent="0.25">
      <c r="B258" s="447"/>
      <c r="C258" s="503"/>
      <c r="D258" s="449"/>
      <c r="E258" s="449" t="s">
        <v>508</v>
      </c>
      <c r="Q258" s="513"/>
      <c r="R258" s="504"/>
      <c r="S258" s="448"/>
    </row>
    <row r="259" spans="2:19" x14ac:dyDescent="0.25">
      <c r="B259" s="447"/>
      <c r="C259" s="503"/>
      <c r="D259" s="449"/>
      <c r="E259" s="449"/>
      <c r="F259" s="449"/>
      <c r="G259" s="449"/>
      <c r="H259" s="449"/>
      <c r="I259" s="449"/>
      <c r="J259" s="449"/>
      <c r="K259" s="449"/>
      <c r="L259" s="449"/>
      <c r="M259" s="449"/>
      <c r="N259" s="449"/>
      <c r="O259" s="449"/>
      <c r="P259" s="449"/>
      <c r="Q259" s="449"/>
      <c r="R259" s="504"/>
      <c r="S259" s="448"/>
    </row>
    <row r="260" spans="2:19" ht="15" customHeight="1" x14ac:dyDescent="0.25">
      <c r="B260" s="447"/>
      <c r="C260" s="503"/>
      <c r="D260" s="449"/>
      <c r="E260" s="449"/>
      <c r="F260" s="449"/>
      <c r="G260" s="1072" t="s">
        <v>307</v>
      </c>
      <c r="H260" s="1073"/>
      <c r="I260" s="1073"/>
      <c r="J260" s="1074"/>
      <c r="K260" s="1072" t="s">
        <v>165</v>
      </c>
      <c r="L260" s="1074"/>
      <c r="M260" s="583" t="s">
        <v>139</v>
      </c>
      <c r="N260" s="583" t="s">
        <v>281</v>
      </c>
      <c r="O260" s="449"/>
      <c r="P260" s="449"/>
      <c r="Q260" s="449"/>
      <c r="R260" s="504"/>
      <c r="S260" s="448"/>
    </row>
    <row r="261" spans="2:19" x14ac:dyDescent="0.25">
      <c r="B261" s="447"/>
      <c r="C261" s="503"/>
      <c r="D261" s="449"/>
      <c r="E261" s="449"/>
      <c r="F261" s="449"/>
      <c r="G261" s="1063" t="s">
        <v>210</v>
      </c>
      <c r="H261" s="1064"/>
      <c r="I261" s="1064"/>
      <c r="J261" s="1065"/>
      <c r="K261" s="1066" t="s">
        <v>282</v>
      </c>
      <c r="L261" s="1066"/>
      <c r="M261" s="682"/>
      <c r="N261" s="587">
        <v>0.127</v>
      </c>
      <c r="O261" s="449"/>
      <c r="P261" s="449"/>
      <c r="Q261" s="449"/>
      <c r="R261" s="504"/>
      <c r="S261" s="448"/>
    </row>
    <row r="262" spans="2:19" x14ac:dyDescent="0.25">
      <c r="B262" s="447"/>
      <c r="C262" s="503"/>
      <c r="D262" s="449"/>
      <c r="E262" s="449"/>
      <c r="F262" s="449"/>
      <c r="G262" s="1063" t="s">
        <v>211</v>
      </c>
      <c r="H262" s="1064"/>
      <c r="I262" s="1064"/>
      <c r="J262" s="1065"/>
      <c r="K262" s="1066" t="s">
        <v>283</v>
      </c>
      <c r="L262" s="1066"/>
      <c r="M262" s="683"/>
      <c r="N262" s="558">
        <v>45</v>
      </c>
      <c r="O262" s="449"/>
      <c r="P262" s="449"/>
      <c r="Q262" s="449"/>
      <c r="R262" s="504"/>
      <c r="S262" s="448"/>
    </row>
    <row r="263" spans="2:19" x14ac:dyDescent="0.25">
      <c r="B263" s="447"/>
      <c r="C263" s="510"/>
      <c r="D263" s="511"/>
      <c r="E263" s="511"/>
      <c r="F263" s="511"/>
      <c r="G263" s="511"/>
      <c r="H263" s="511"/>
      <c r="I263" s="511"/>
      <c r="J263" s="511"/>
      <c r="K263" s="511"/>
      <c r="L263" s="511"/>
      <c r="M263" s="511"/>
      <c r="N263" s="511"/>
      <c r="O263" s="511"/>
      <c r="P263" s="511"/>
      <c r="Q263" s="511"/>
      <c r="R263" s="512"/>
      <c r="S263" s="448"/>
    </row>
    <row r="264" spans="2:19" ht="15.75" thickBot="1" x14ac:dyDescent="0.3">
      <c r="B264" s="538"/>
      <c r="C264" s="539"/>
      <c r="D264" s="539"/>
      <c r="E264" s="539"/>
      <c r="F264" s="539"/>
      <c r="G264" s="539"/>
      <c r="H264" s="539"/>
      <c r="I264" s="539"/>
      <c r="J264" s="539"/>
      <c r="K264" s="539"/>
      <c r="L264" s="539"/>
      <c r="M264" s="539"/>
      <c r="N264" s="539"/>
      <c r="O264" s="539"/>
      <c r="P264" s="539"/>
      <c r="Q264" s="539"/>
      <c r="R264" s="539"/>
      <c r="S264" s="540"/>
    </row>
    <row r="265" spans="2:19" s="438" customFormat="1" ht="15.75" thickBot="1" x14ac:dyDescent="0.3">
      <c r="B265" s="588"/>
    </row>
    <row r="266" spans="2:19" x14ac:dyDescent="0.25">
      <c r="B266" s="443"/>
      <c r="C266" s="444"/>
      <c r="D266" s="444"/>
      <c r="E266" s="444"/>
      <c r="F266" s="444"/>
      <c r="G266" s="444"/>
      <c r="H266" s="444"/>
      <c r="I266" s="444"/>
      <c r="J266" s="444"/>
      <c r="K266" s="444"/>
      <c r="L266" s="444"/>
      <c r="M266" s="444"/>
      <c r="N266" s="444"/>
      <c r="O266" s="444"/>
      <c r="P266" s="444"/>
      <c r="Q266" s="444"/>
      <c r="R266" s="444"/>
      <c r="S266" s="445"/>
    </row>
    <row r="267" spans="2:19" x14ac:dyDescent="0.25">
      <c r="B267" s="447"/>
      <c r="C267" s="449"/>
      <c r="D267" s="449"/>
      <c r="E267" s="449"/>
      <c r="F267" s="449"/>
      <c r="G267" s="449"/>
      <c r="H267" s="449"/>
      <c r="I267" s="449"/>
      <c r="J267" s="449"/>
      <c r="K267" s="449"/>
      <c r="L267" s="449"/>
      <c r="M267" s="449"/>
      <c r="N267" s="449"/>
      <c r="O267" s="449"/>
      <c r="P267" s="449"/>
      <c r="Q267" s="449"/>
      <c r="R267" s="449"/>
      <c r="S267" s="448"/>
    </row>
    <row r="268" spans="2:19" ht="23.25" x14ac:dyDescent="0.25">
      <c r="B268" s="447"/>
      <c r="C268" s="1067" t="s">
        <v>366</v>
      </c>
      <c r="D268" s="1067"/>
      <c r="E268" s="1067"/>
      <c r="F268" s="1067"/>
      <c r="G268" s="1067"/>
      <c r="H268" s="1067"/>
      <c r="I268" s="1067"/>
      <c r="J268" s="1067"/>
      <c r="K268" s="1067"/>
      <c r="L268" s="1067"/>
      <c r="M268" s="1067"/>
      <c r="N268" s="1067"/>
      <c r="O268" s="1067"/>
      <c r="P268" s="1067"/>
      <c r="Q268" s="1067"/>
      <c r="R268" s="1067"/>
      <c r="S268" s="448"/>
    </row>
    <row r="269" spans="2:19" x14ac:dyDescent="0.25">
      <c r="B269" s="447"/>
      <c r="C269" s="449"/>
      <c r="D269" s="449"/>
      <c r="E269" s="449"/>
      <c r="F269" s="449"/>
      <c r="G269" s="449"/>
      <c r="H269" s="449"/>
      <c r="I269" s="449"/>
      <c r="J269" s="449"/>
      <c r="K269" s="449"/>
      <c r="L269" s="449"/>
      <c r="M269" s="449"/>
      <c r="N269" s="449"/>
      <c r="O269" s="449"/>
      <c r="P269" s="449"/>
      <c r="Q269" s="449"/>
      <c r="R269" s="449"/>
      <c r="S269" s="448"/>
    </row>
    <row r="270" spans="2:19" ht="18.75" x14ac:dyDescent="0.25">
      <c r="B270" s="447"/>
      <c r="C270" s="449"/>
      <c r="D270" s="449"/>
      <c r="E270" s="1062" t="s">
        <v>367</v>
      </c>
      <c r="F270" s="1062"/>
      <c r="G270" s="1062"/>
      <c r="H270" s="1062"/>
      <c r="I270" s="1062"/>
      <c r="J270" s="1062"/>
      <c r="K270" s="1062"/>
      <c r="L270" s="1062"/>
      <c r="M270" s="1062"/>
      <c r="N270" s="1062"/>
      <c r="O270" s="1062"/>
      <c r="P270" s="1062"/>
      <c r="Q270" s="449"/>
      <c r="R270" s="449"/>
      <c r="S270" s="448"/>
    </row>
    <row r="271" spans="2:19" ht="19.5" customHeight="1" x14ac:dyDescent="0.25">
      <c r="B271" s="447"/>
      <c r="C271" s="449"/>
      <c r="D271" s="449"/>
      <c r="E271" s="521" t="s">
        <v>509</v>
      </c>
      <c r="Q271" s="449"/>
      <c r="R271" s="449"/>
      <c r="S271" s="448"/>
    </row>
    <row r="272" spans="2:19" x14ac:dyDescent="0.25">
      <c r="B272" s="447"/>
      <c r="C272" s="449"/>
      <c r="D272" s="449"/>
      <c r="E272" s="449"/>
      <c r="F272" s="449"/>
      <c r="G272" s="449"/>
      <c r="H272" s="449"/>
      <c r="I272" s="449"/>
      <c r="J272" s="449"/>
      <c r="K272" s="449"/>
      <c r="L272" s="449"/>
      <c r="M272" s="449"/>
      <c r="N272" s="449"/>
      <c r="O272" s="449"/>
      <c r="P272" s="449"/>
      <c r="Q272" s="449"/>
      <c r="R272" s="449"/>
      <c r="S272" s="448"/>
    </row>
    <row r="273" spans="2:19" x14ac:dyDescent="0.25">
      <c r="B273" s="447"/>
      <c r="C273" s="449"/>
      <c r="D273" s="449"/>
      <c r="E273" s="1061" t="s">
        <v>702</v>
      </c>
      <c r="F273" s="1061"/>
      <c r="G273" s="1061"/>
      <c r="H273" s="449"/>
      <c r="I273" s="449"/>
      <c r="J273" s="449"/>
      <c r="K273" s="449"/>
      <c r="L273" s="449"/>
      <c r="M273" s="1061" t="s">
        <v>703</v>
      </c>
      <c r="N273" s="1061"/>
      <c r="O273" s="1061"/>
      <c r="P273" s="449"/>
      <c r="Q273" s="449"/>
      <c r="R273" s="449"/>
      <c r="S273" s="448"/>
    </row>
    <row r="274" spans="2:19" x14ac:dyDescent="0.25">
      <c r="B274" s="447"/>
      <c r="C274" s="449"/>
      <c r="D274" s="449"/>
      <c r="E274" s="589" t="s">
        <v>73</v>
      </c>
      <c r="F274" s="583" t="s">
        <v>139</v>
      </c>
      <c r="G274" s="583" t="s">
        <v>281</v>
      </c>
      <c r="H274" s="449"/>
      <c r="I274" s="449"/>
      <c r="J274" s="449"/>
      <c r="K274" s="449"/>
      <c r="L274" s="449"/>
      <c r="M274" s="589" t="s">
        <v>73</v>
      </c>
      <c r="N274" s="583" t="s">
        <v>139</v>
      </c>
      <c r="O274" s="583" t="s">
        <v>281</v>
      </c>
      <c r="P274" s="449"/>
      <c r="Q274" s="449"/>
      <c r="R274" s="449"/>
      <c r="S274" s="448"/>
    </row>
    <row r="275" spans="2:19" x14ac:dyDescent="0.25">
      <c r="B275" s="447"/>
      <c r="C275" s="449"/>
      <c r="D275" s="449"/>
      <c r="E275" s="590" t="s">
        <v>3</v>
      </c>
      <c r="F275" s="591"/>
      <c r="G275" s="592">
        <f>+IF('Datos Generales'!$K$11="Moneda local",ReferenciasP!E181,ReferenciasP!C181)</f>
        <v>72.902503836494262</v>
      </c>
      <c r="H275" s="449"/>
      <c r="I275" s="449"/>
      <c r="J275" s="449"/>
      <c r="K275" s="449"/>
      <c r="L275" s="449"/>
      <c r="M275" s="590" t="s">
        <v>3</v>
      </c>
      <c r="N275" s="593"/>
      <c r="O275" s="592">
        <f>+IF('Datos Generales'!$K$11="Moneda local",ReferenciasP!E191,ReferenciasP!C191)</f>
        <v>36.451251918247131</v>
      </c>
      <c r="P275" s="449"/>
      <c r="Q275" s="449"/>
      <c r="R275" s="449"/>
      <c r="S275" s="448"/>
    </row>
    <row r="276" spans="2:19" x14ac:dyDescent="0.25">
      <c r="B276" s="447"/>
      <c r="C276" s="449"/>
      <c r="D276" s="449"/>
      <c r="E276" s="590" t="s">
        <v>4</v>
      </c>
      <c r="F276" s="591"/>
      <c r="G276" s="592">
        <f>+IF('Datos Generales'!$K$11="Moneda local",ReferenciasP!E182,ReferenciasP!C182)</f>
        <v>25.515876342772994</v>
      </c>
      <c r="H276" s="449"/>
      <c r="I276" s="449"/>
      <c r="J276" s="449"/>
      <c r="K276" s="449"/>
      <c r="L276" s="449"/>
      <c r="M276" s="590" t="s">
        <v>4</v>
      </c>
      <c r="N276" s="593"/>
      <c r="O276" s="592">
        <f>+IF('Datos Generales'!$K$11="Moneda local",ReferenciasP!E192,ReferenciasP!C192)</f>
        <v>18.225625959123565</v>
      </c>
      <c r="P276" s="449"/>
      <c r="Q276" s="449"/>
      <c r="R276" s="449"/>
      <c r="S276" s="448"/>
    </row>
    <row r="277" spans="2:19" x14ac:dyDescent="0.25">
      <c r="B277" s="447"/>
      <c r="C277" s="449"/>
      <c r="D277" s="449"/>
      <c r="E277" s="590" t="s">
        <v>6</v>
      </c>
      <c r="F277" s="591"/>
      <c r="G277" s="592">
        <f>+IF('Datos Generales'!$K$11="Moneda local",ReferenciasP!E183,ReferenciasP!C183)</f>
        <v>29.161001534597705</v>
      </c>
      <c r="H277" s="449"/>
      <c r="I277" s="449"/>
      <c r="J277" s="449"/>
      <c r="K277" s="449"/>
      <c r="L277" s="449"/>
      <c r="M277" s="590" t="s">
        <v>6</v>
      </c>
      <c r="N277" s="593"/>
      <c r="O277" s="592">
        <f>+IF('Datos Generales'!$K$11="Moneda local",ReferenciasP!E193,ReferenciasP!C193)</f>
        <v>18.225625959123565</v>
      </c>
      <c r="P277" s="449"/>
      <c r="Q277" s="449"/>
      <c r="R277" s="449"/>
      <c r="S277" s="448"/>
    </row>
    <row r="278" spans="2:19" x14ac:dyDescent="0.25">
      <c r="B278" s="447"/>
      <c r="C278" s="449"/>
      <c r="D278" s="449"/>
      <c r="E278" s="590" t="s">
        <v>5</v>
      </c>
      <c r="F278" s="591"/>
      <c r="G278" s="592">
        <f>+IF('Datos Generales'!$K$11="Moneda local",ReferenciasP!E184,ReferenciasP!C184)</f>
        <v>45.564064897808919</v>
      </c>
      <c r="H278" s="449"/>
      <c r="I278" s="449"/>
      <c r="J278" s="449"/>
      <c r="K278" s="449"/>
      <c r="L278" s="449"/>
      <c r="M278" s="590" t="s">
        <v>5</v>
      </c>
      <c r="N278" s="593"/>
      <c r="O278" s="592">
        <f>+IF('Datos Generales'!$K$11="Moneda local",ReferenciasP!E194,ReferenciasP!C194)</f>
        <v>36.451251918247131</v>
      </c>
      <c r="P278" s="449"/>
      <c r="Q278" s="449"/>
      <c r="R278" s="449"/>
      <c r="S278" s="448"/>
    </row>
    <row r="279" spans="2:19" x14ac:dyDescent="0.25">
      <c r="B279" s="447"/>
      <c r="C279" s="449"/>
      <c r="D279" s="449"/>
      <c r="E279" s="590" t="s">
        <v>7</v>
      </c>
      <c r="F279" s="591"/>
      <c r="G279" s="592">
        <f>+IF('Datos Generales'!$K$11="Moneda local",ReferenciasP!E185,ReferenciasP!C185)</f>
        <v>61.967128261020129</v>
      </c>
      <c r="H279" s="449"/>
      <c r="I279" s="449"/>
      <c r="J279" s="449"/>
      <c r="K279" s="449"/>
      <c r="L279" s="449"/>
      <c r="M279" s="590" t="s">
        <v>7</v>
      </c>
      <c r="N279" s="593"/>
      <c r="O279" s="592">
        <f>+IF('Datos Generales'!$K$11="Moneda local",ReferenciasP!E195,ReferenciasP!C195)</f>
        <v>54.6768778773707</v>
      </c>
      <c r="P279" s="449"/>
      <c r="Q279" s="449"/>
      <c r="R279" s="449"/>
      <c r="S279" s="448"/>
    </row>
    <row r="280" spans="2:19" x14ac:dyDescent="0.25">
      <c r="B280" s="447"/>
      <c r="C280" s="449"/>
      <c r="D280" s="449"/>
      <c r="E280" s="590" t="s">
        <v>72</v>
      </c>
      <c r="F280" s="591"/>
      <c r="G280" s="592">
        <f>+IF('Datos Generales'!$K$11="Moneda local",ReferenciasP!E186,ReferenciasP!C186)</f>
        <v>12.757938171386497</v>
      </c>
      <c r="H280" s="449"/>
      <c r="I280" s="449"/>
      <c r="J280" s="449"/>
      <c r="K280" s="449"/>
      <c r="L280" s="449"/>
      <c r="M280" s="590" t="s">
        <v>72</v>
      </c>
      <c r="N280" s="593"/>
      <c r="O280" s="592">
        <f>+IF('Datos Generales'!$K$11="Moneda local",ReferenciasP!E196,ReferenciasP!C196)</f>
        <v>9.1128129795617827</v>
      </c>
      <c r="P280" s="449"/>
      <c r="Q280" s="449"/>
      <c r="R280" s="449"/>
      <c r="S280" s="448"/>
    </row>
    <row r="281" spans="2:19" x14ac:dyDescent="0.25">
      <c r="B281" s="447"/>
      <c r="C281" s="449"/>
      <c r="D281" s="449"/>
      <c r="E281" s="449"/>
      <c r="F281" s="449"/>
      <c r="G281" s="449"/>
      <c r="H281" s="449"/>
      <c r="I281" s="449"/>
      <c r="J281" s="449"/>
      <c r="K281" s="449"/>
      <c r="L281" s="449"/>
      <c r="M281" s="551"/>
      <c r="N281" s="449"/>
      <c r="O281" s="449"/>
      <c r="P281" s="449"/>
      <c r="Q281" s="449"/>
      <c r="R281" s="449"/>
      <c r="S281" s="448"/>
    </row>
    <row r="282" spans="2:19" x14ac:dyDescent="0.25">
      <c r="B282" s="447"/>
      <c r="C282" s="449"/>
      <c r="D282" s="449"/>
      <c r="E282" s="449"/>
      <c r="F282" s="449"/>
      <c r="G282" s="449"/>
      <c r="H282" s="449"/>
      <c r="I282" s="449"/>
      <c r="J282" s="449"/>
      <c r="K282" s="449"/>
      <c r="L282" s="449"/>
      <c r="M282" s="449"/>
      <c r="N282" s="449"/>
      <c r="O282" s="449"/>
      <c r="P282" s="449"/>
      <c r="Q282" s="449"/>
      <c r="R282" s="449"/>
      <c r="S282" s="448"/>
    </row>
    <row r="283" spans="2:19" ht="18.75" x14ac:dyDescent="0.25">
      <c r="B283" s="447"/>
      <c r="C283" s="449"/>
      <c r="D283" s="449"/>
      <c r="E283" s="1062" t="s">
        <v>704</v>
      </c>
      <c r="F283" s="1062"/>
      <c r="G283" s="1062"/>
      <c r="H283" s="1062"/>
      <c r="I283" s="1062"/>
      <c r="J283" s="1062"/>
      <c r="K283" s="1062"/>
      <c r="L283" s="1062"/>
      <c r="M283" s="1062"/>
      <c r="N283" s="1062"/>
      <c r="O283" s="1062"/>
      <c r="P283" s="1062"/>
      <c r="Q283" s="449"/>
      <c r="R283" s="449"/>
      <c r="S283" s="448"/>
    </row>
    <row r="284" spans="2:19" x14ac:dyDescent="0.25">
      <c r="B284" s="447"/>
      <c r="C284" s="449"/>
      <c r="D284" s="449"/>
      <c r="E284" s="521" t="s">
        <v>510</v>
      </c>
      <c r="Q284" s="449"/>
      <c r="R284" s="449"/>
      <c r="S284" s="448"/>
    </row>
    <row r="285" spans="2:19" x14ac:dyDescent="0.25">
      <c r="B285" s="447"/>
      <c r="C285" s="449"/>
      <c r="D285" s="449"/>
      <c r="E285" s="449"/>
      <c r="F285" s="449"/>
      <c r="G285" s="449"/>
      <c r="H285" s="449"/>
      <c r="I285" s="449"/>
      <c r="J285" s="449"/>
      <c r="K285" s="449"/>
      <c r="L285" s="449"/>
      <c r="M285" s="449"/>
      <c r="N285" s="449"/>
      <c r="O285" s="449"/>
      <c r="P285" s="449"/>
      <c r="Q285" s="449"/>
      <c r="R285" s="449"/>
      <c r="S285" s="448"/>
    </row>
    <row r="286" spans="2:19" x14ac:dyDescent="0.25">
      <c r="B286" s="447"/>
      <c r="C286" s="449"/>
      <c r="D286" s="449"/>
      <c r="E286" s="551" t="s">
        <v>371</v>
      </c>
      <c r="F286" s="449"/>
      <c r="G286" s="594"/>
      <c r="H286" s="449"/>
      <c r="I286" s="449"/>
      <c r="J286" s="449"/>
      <c r="K286" s="551" t="s">
        <v>372</v>
      </c>
      <c r="L286" s="449"/>
      <c r="M286" s="449"/>
      <c r="N286" s="594"/>
      <c r="O286" s="449"/>
      <c r="P286" s="449"/>
      <c r="Q286" s="449"/>
      <c r="R286" s="449"/>
      <c r="S286" s="448"/>
    </row>
    <row r="287" spans="2:19" x14ac:dyDescent="0.25">
      <c r="B287" s="447"/>
      <c r="C287" s="449"/>
      <c r="D287" s="449"/>
      <c r="E287" s="449"/>
      <c r="F287" s="449"/>
      <c r="G287" s="449"/>
      <c r="H287" s="449"/>
      <c r="I287" s="449"/>
      <c r="J287" s="449"/>
      <c r="K287" s="449"/>
      <c r="L287" s="449"/>
      <c r="M287" s="449"/>
      <c r="N287" s="449"/>
      <c r="O287" s="449"/>
      <c r="P287" s="449"/>
      <c r="Q287" s="449"/>
      <c r="R287" s="449"/>
      <c r="S287" s="448"/>
    </row>
    <row r="288" spans="2:19" x14ac:dyDescent="0.25">
      <c r="B288" s="447"/>
      <c r="C288" s="449"/>
      <c r="D288" s="449"/>
      <c r="E288" s="449"/>
      <c r="F288" s="449"/>
      <c r="G288" s="449"/>
      <c r="H288" s="449"/>
      <c r="I288" s="449"/>
      <c r="J288" s="449"/>
      <c r="K288" s="449"/>
      <c r="L288" s="449"/>
      <c r="M288" s="449"/>
      <c r="N288" s="449"/>
      <c r="O288" s="449"/>
      <c r="P288" s="449"/>
      <c r="Q288" s="449"/>
      <c r="R288" s="449"/>
      <c r="S288" s="448"/>
    </row>
    <row r="289" spans="2:19" x14ac:dyDescent="0.25">
      <c r="B289" s="447"/>
      <c r="C289" s="449"/>
      <c r="D289" s="449"/>
      <c r="E289" s="449"/>
      <c r="F289" s="449"/>
      <c r="G289" s="449"/>
      <c r="H289" s="449"/>
      <c r="I289" s="449"/>
      <c r="J289" s="449"/>
      <c r="K289" s="449"/>
      <c r="L289" s="449"/>
      <c r="M289" s="449"/>
      <c r="N289" s="449"/>
      <c r="O289" s="449"/>
      <c r="P289" s="449"/>
      <c r="Q289" s="449"/>
      <c r="R289" s="449"/>
      <c r="S289" s="448"/>
    </row>
    <row r="290" spans="2:19" x14ac:dyDescent="0.25">
      <c r="B290" s="447"/>
      <c r="C290" s="449"/>
      <c r="D290" s="449"/>
      <c r="E290" s="449"/>
      <c r="F290" s="449"/>
      <c r="G290" s="449"/>
      <c r="H290" s="449"/>
      <c r="I290" s="449"/>
      <c r="J290" s="449"/>
      <c r="K290" s="449"/>
      <c r="L290" s="449"/>
      <c r="M290" s="449"/>
      <c r="N290" s="449"/>
      <c r="O290" s="449"/>
      <c r="P290" s="449"/>
      <c r="Q290" s="449"/>
      <c r="R290" s="449"/>
      <c r="S290" s="448"/>
    </row>
    <row r="291" spans="2:19" x14ac:dyDescent="0.25">
      <c r="B291" s="447"/>
      <c r="C291" s="449"/>
      <c r="D291" s="449"/>
      <c r="E291" s="449"/>
      <c r="F291" s="449"/>
      <c r="G291" s="449"/>
      <c r="H291" s="449"/>
      <c r="I291" s="449"/>
      <c r="J291" s="449"/>
      <c r="K291" s="449"/>
      <c r="L291" s="449"/>
      <c r="M291" s="449"/>
      <c r="N291" s="449"/>
      <c r="O291" s="449"/>
      <c r="P291" s="449"/>
      <c r="Q291" s="449"/>
      <c r="R291" s="449"/>
      <c r="S291" s="448"/>
    </row>
    <row r="292" spans="2:19" x14ac:dyDescent="0.25">
      <c r="B292" s="447"/>
      <c r="C292" s="449"/>
      <c r="D292" s="449"/>
      <c r="E292" s="449"/>
      <c r="F292" s="449"/>
      <c r="G292" s="449"/>
      <c r="H292" s="449"/>
      <c r="I292" s="449"/>
      <c r="J292" s="449"/>
      <c r="K292" s="449"/>
      <c r="L292" s="449"/>
      <c r="M292" s="449"/>
      <c r="N292" s="449"/>
      <c r="O292" s="449"/>
      <c r="P292" s="449"/>
      <c r="Q292" s="449"/>
      <c r="R292" s="449"/>
      <c r="S292" s="448"/>
    </row>
    <row r="293" spans="2:19" x14ac:dyDescent="0.25">
      <c r="B293" s="447"/>
      <c r="C293" s="449"/>
      <c r="D293" s="449"/>
      <c r="E293" s="449"/>
      <c r="F293" s="449"/>
      <c r="G293" s="449"/>
      <c r="H293" s="449"/>
      <c r="I293" s="449"/>
      <c r="J293" s="449"/>
      <c r="K293" s="449"/>
      <c r="L293" s="449"/>
      <c r="M293" s="449"/>
      <c r="N293" s="449"/>
      <c r="O293" s="449"/>
      <c r="P293" s="449"/>
      <c r="Q293" s="449"/>
      <c r="R293" s="449"/>
      <c r="S293" s="448"/>
    </row>
    <row r="294" spans="2:19" x14ac:dyDescent="0.25">
      <c r="B294" s="447"/>
      <c r="C294" s="449"/>
      <c r="D294" s="449"/>
      <c r="E294" s="449"/>
      <c r="F294" s="449"/>
      <c r="G294" s="449"/>
      <c r="H294" s="449"/>
      <c r="I294" s="449"/>
      <c r="J294" s="449"/>
      <c r="K294" s="449"/>
      <c r="L294" s="449"/>
      <c r="M294" s="449"/>
      <c r="N294" s="449"/>
      <c r="O294" s="449"/>
      <c r="P294" s="449"/>
      <c r="Q294" s="449"/>
      <c r="R294" s="449"/>
      <c r="S294" s="448"/>
    </row>
    <row r="295" spans="2:19" x14ac:dyDescent="0.25">
      <c r="B295" s="447"/>
      <c r="C295" s="449"/>
      <c r="D295" s="449"/>
      <c r="E295" s="449"/>
      <c r="F295" s="449"/>
      <c r="G295" s="449"/>
      <c r="H295" s="449"/>
      <c r="I295" s="449"/>
      <c r="J295" s="449"/>
      <c r="K295" s="449"/>
      <c r="L295" s="449"/>
      <c r="M295" s="449"/>
      <c r="N295" s="449"/>
      <c r="O295" s="449"/>
      <c r="P295" s="449"/>
      <c r="Q295" s="449"/>
      <c r="R295" s="449"/>
      <c r="S295" s="448"/>
    </row>
    <row r="296" spans="2:19" x14ac:dyDescent="0.25">
      <c r="B296" s="447"/>
      <c r="C296" s="449"/>
      <c r="D296" s="449"/>
      <c r="E296" s="449"/>
      <c r="F296" s="449"/>
      <c r="G296" s="449"/>
      <c r="H296" s="449"/>
      <c r="I296" s="449"/>
      <c r="J296" s="449"/>
      <c r="K296" s="449"/>
      <c r="L296" s="449"/>
      <c r="M296" s="449"/>
      <c r="N296" s="449"/>
      <c r="O296" s="449"/>
      <c r="P296" s="449"/>
      <c r="Q296" s="449"/>
      <c r="R296" s="449"/>
      <c r="S296" s="448"/>
    </row>
    <row r="297" spans="2:19" ht="15.75" thickBot="1" x14ac:dyDescent="0.3">
      <c r="B297" s="538"/>
      <c r="C297" s="539"/>
      <c r="D297" s="539"/>
      <c r="E297" s="539"/>
      <c r="F297" s="539"/>
      <c r="G297" s="539"/>
      <c r="H297" s="539"/>
      <c r="I297" s="539"/>
      <c r="J297" s="539"/>
      <c r="K297" s="539"/>
      <c r="L297" s="539"/>
      <c r="M297" s="539"/>
      <c r="N297" s="539"/>
      <c r="O297" s="539"/>
      <c r="P297" s="539"/>
      <c r="Q297" s="539"/>
      <c r="R297" s="539"/>
      <c r="S297" s="540"/>
    </row>
    <row r="298" spans="2:19" s="438" customFormat="1" x14ac:dyDescent="0.25"/>
    <row r="299" spans="2:19" s="438" customFormat="1" x14ac:dyDescent="0.25"/>
    <row r="300" spans="2:19" s="438" customFormat="1" x14ac:dyDescent="0.25"/>
    <row r="301" spans="2:19" s="438" customFormat="1" x14ac:dyDescent="0.25"/>
    <row r="302" spans="2:19" s="438" customFormat="1" x14ac:dyDescent="0.25"/>
    <row r="303" spans="2:19" s="438" customFormat="1" x14ac:dyDescent="0.25"/>
    <row r="304" spans="2:19" s="438" customFormat="1" x14ac:dyDescent="0.25"/>
    <row r="305" s="438" customFormat="1" x14ac:dyDescent="0.25"/>
    <row r="306" s="438" customFormat="1" x14ac:dyDescent="0.25"/>
    <row r="307" s="438" customFormat="1" x14ac:dyDescent="0.25"/>
    <row r="308" s="438" customFormat="1" x14ac:dyDescent="0.25"/>
    <row r="309" s="438" customFormat="1" x14ac:dyDescent="0.25"/>
    <row r="310" s="438" customFormat="1" x14ac:dyDescent="0.25"/>
    <row r="311" s="438" customFormat="1" x14ac:dyDescent="0.25"/>
    <row r="312" s="438" customFormat="1" x14ac:dyDescent="0.25"/>
    <row r="313" s="438" customFormat="1" x14ac:dyDescent="0.25"/>
    <row r="314" s="438" customFormat="1" x14ac:dyDescent="0.25"/>
    <row r="315" s="438" customFormat="1" x14ac:dyDescent="0.25"/>
    <row r="316" s="438" customFormat="1" x14ac:dyDescent="0.25"/>
    <row r="317" s="438" customFormat="1" x14ac:dyDescent="0.25"/>
    <row r="318" s="438" customFormat="1" x14ac:dyDescent="0.25"/>
    <row r="319" s="438" customFormat="1" x14ac:dyDescent="0.25"/>
    <row r="320" s="438" customFormat="1" x14ac:dyDescent="0.25"/>
    <row r="321" s="438" customFormat="1" x14ac:dyDescent="0.25"/>
    <row r="322" s="438" customFormat="1" x14ac:dyDescent="0.25"/>
    <row r="323" s="438" customFormat="1" x14ac:dyDescent="0.25"/>
    <row r="324" s="438" customFormat="1" x14ac:dyDescent="0.25"/>
    <row r="325" s="438" customFormat="1" x14ac:dyDescent="0.25"/>
    <row r="326" s="438" customFormat="1" x14ac:dyDescent="0.25"/>
    <row r="327" s="438" customFormat="1" x14ac:dyDescent="0.25"/>
    <row r="328" s="438" customFormat="1" x14ac:dyDescent="0.25"/>
    <row r="329" s="438" customFormat="1" x14ac:dyDescent="0.25"/>
    <row r="330" s="438" customFormat="1" x14ac:dyDescent="0.25"/>
    <row r="331" s="438" customFormat="1" x14ac:dyDescent="0.25"/>
    <row r="332" s="438" customFormat="1" x14ac:dyDescent="0.25"/>
    <row r="333" s="438" customFormat="1" x14ac:dyDescent="0.25"/>
    <row r="334" s="438" customFormat="1" x14ac:dyDescent="0.25"/>
    <row r="335" s="438" customFormat="1" x14ac:dyDescent="0.25"/>
    <row r="336" s="438" customFormat="1" x14ac:dyDescent="0.25"/>
    <row r="337" s="438" customFormat="1" x14ac:dyDescent="0.25"/>
    <row r="338" s="438" customFormat="1" x14ac:dyDescent="0.25"/>
    <row r="339" s="438" customFormat="1" x14ac:dyDescent="0.25"/>
    <row r="340" s="438" customFormat="1" x14ac:dyDescent="0.25"/>
    <row r="341" s="438" customFormat="1" x14ac:dyDescent="0.25"/>
    <row r="342" s="438" customFormat="1" x14ac:dyDescent="0.25"/>
    <row r="343" s="438" customFormat="1" x14ac:dyDescent="0.25"/>
    <row r="344" s="438" customFormat="1" x14ac:dyDescent="0.25"/>
    <row r="345" s="438" customFormat="1" x14ac:dyDescent="0.25"/>
    <row r="346" s="438" customFormat="1" x14ac:dyDescent="0.25"/>
    <row r="347" s="438" customFormat="1" x14ac:dyDescent="0.25"/>
    <row r="348" s="438" customFormat="1" x14ac:dyDescent="0.25"/>
    <row r="349" s="438" customFormat="1" x14ac:dyDescent="0.25"/>
    <row r="350" s="438" customFormat="1" x14ac:dyDescent="0.25"/>
    <row r="351" s="438" customFormat="1" x14ac:dyDescent="0.25"/>
    <row r="352" s="438" customFormat="1" x14ac:dyDescent="0.25"/>
    <row r="353" s="438" customFormat="1" x14ac:dyDescent="0.25"/>
    <row r="354" s="438" customFormat="1" x14ac:dyDescent="0.25"/>
    <row r="355" s="438" customFormat="1" x14ac:dyDescent="0.25"/>
    <row r="356" s="438" customFormat="1" x14ac:dyDescent="0.25"/>
    <row r="357" s="438" customFormat="1" x14ac:dyDescent="0.25"/>
    <row r="358" s="438" customFormat="1" x14ac:dyDescent="0.25"/>
    <row r="359" s="438" customFormat="1" x14ac:dyDescent="0.25"/>
    <row r="360" s="438" customFormat="1" x14ac:dyDescent="0.25"/>
    <row r="361" s="438" customFormat="1" x14ac:dyDescent="0.25"/>
    <row r="362" s="438" customFormat="1" x14ac:dyDescent="0.25"/>
    <row r="363" s="438" customFormat="1" x14ac:dyDescent="0.25"/>
    <row r="364" s="438" customFormat="1" x14ac:dyDescent="0.25"/>
    <row r="365" s="438" customFormat="1" x14ac:dyDescent="0.25"/>
    <row r="366" s="438" customFormat="1" x14ac:dyDescent="0.25"/>
    <row r="367" s="438" customFormat="1" x14ac:dyDescent="0.25"/>
    <row r="368" s="438" customFormat="1" x14ac:dyDescent="0.25"/>
    <row r="369" s="438" customFormat="1" x14ac:dyDescent="0.25"/>
    <row r="370" s="438" customFormat="1" x14ac:dyDescent="0.25"/>
    <row r="371" s="438" customFormat="1" x14ac:dyDescent="0.25"/>
    <row r="372" s="438" customFormat="1" x14ac:dyDescent="0.25"/>
    <row r="373" s="438" customFormat="1" x14ac:dyDescent="0.25"/>
    <row r="374" s="438" customFormat="1" x14ac:dyDescent="0.25"/>
    <row r="375" s="438" customFormat="1" x14ac:dyDescent="0.25"/>
    <row r="376" s="438" customFormat="1" x14ac:dyDescent="0.25"/>
    <row r="377" s="438" customFormat="1" x14ac:dyDescent="0.25"/>
    <row r="378" s="438" customFormat="1" x14ac:dyDescent="0.25"/>
    <row r="379" s="438" customFormat="1" x14ac:dyDescent="0.25"/>
    <row r="380" s="438" customFormat="1" x14ac:dyDescent="0.25"/>
    <row r="381" s="438" customFormat="1" x14ac:dyDescent="0.25"/>
    <row r="382" s="438" customFormat="1" x14ac:dyDescent="0.25"/>
    <row r="383" s="438" customFormat="1" x14ac:dyDescent="0.25"/>
    <row r="384" s="438" customFormat="1" x14ac:dyDescent="0.25"/>
    <row r="385" s="438" customFormat="1" x14ac:dyDescent="0.25"/>
    <row r="386" s="438" customFormat="1" x14ac:dyDescent="0.25"/>
    <row r="387" s="438" customFormat="1" x14ac:dyDescent="0.25"/>
    <row r="388" s="438" customFormat="1" x14ac:dyDescent="0.25"/>
    <row r="389" s="438" customFormat="1" x14ac:dyDescent="0.25"/>
    <row r="390" s="438" customFormat="1" x14ac:dyDescent="0.25"/>
    <row r="391" s="438" customFormat="1" x14ac:dyDescent="0.25"/>
    <row r="392" s="438" customFormat="1" x14ac:dyDescent="0.25"/>
    <row r="393" s="438" customFormat="1" x14ac:dyDescent="0.25"/>
    <row r="394" s="438" customFormat="1" x14ac:dyDescent="0.25"/>
    <row r="395" s="438" customFormat="1" x14ac:dyDescent="0.25"/>
    <row r="396" s="438" customFormat="1" x14ac:dyDescent="0.25"/>
    <row r="397" s="438" customFormat="1" x14ac:dyDescent="0.25"/>
    <row r="398" s="438" customFormat="1" x14ac:dyDescent="0.25"/>
    <row r="399" s="438" customFormat="1" x14ac:dyDescent="0.25"/>
    <row r="400" s="438" customFormat="1" x14ac:dyDescent="0.25"/>
    <row r="401" s="438" customFormat="1" x14ac:dyDescent="0.25"/>
    <row r="402" s="438" customFormat="1" x14ac:dyDescent="0.25"/>
    <row r="403" s="438" customFormat="1" x14ac:dyDescent="0.25"/>
    <row r="404" s="438" customFormat="1" x14ac:dyDescent="0.25"/>
    <row r="405" s="438" customFormat="1" x14ac:dyDescent="0.25"/>
    <row r="406" s="438" customFormat="1" x14ac:dyDescent="0.25"/>
    <row r="407" s="438" customFormat="1" x14ac:dyDescent="0.25"/>
    <row r="408" s="438" customFormat="1" x14ac:dyDescent="0.25"/>
    <row r="409" s="438" customFormat="1" x14ac:dyDescent="0.25"/>
    <row r="410" s="438" customFormat="1" x14ac:dyDescent="0.25"/>
    <row r="411" s="438" customFormat="1" x14ac:dyDescent="0.25"/>
    <row r="412" s="438" customFormat="1" x14ac:dyDescent="0.25"/>
    <row r="413" s="438" customFormat="1" x14ac:dyDescent="0.25"/>
    <row r="414" s="438" customFormat="1" x14ac:dyDescent="0.25"/>
    <row r="415" s="438" customFormat="1" x14ac:dyDescent="0.25"/>
    <row r="416" s="438" customFormat="1" x14ac:dyDescent="0.25"/>
    <row r="417" s="438" customFormat="1" x14ac:dyDescent="0.25"/>
    <row r="418" s="438" customFormat="1" x14ac:dyDescent="0.25"/>
    <row r="419" s="438" customFormat="1" x14ac:dyDescent="0.25"/>
    <row r="420" s="438" customFormat="1" x14ac:dyDescent="0.25"/>
    <row r="421" s="438" customFormat="1" x14ac:dyDescent="0.25"/>
    <row r="422" s="438" customFormat="1" x14ac:dyDescent="0.25"/>
    <row r="423" s="438" customFormat="1" x14ac:dyDescent="0.25"/>
    <row r="424" s="438" customFormat="1" x14ac:dyDescent="0.25"/>
    <row r="425" s="438" customFormat="1" x14ac:dyDescent="0.25"/>
    <row r="426" s="438" customFormat="1" x14ac:dyDescent="0.25"/>
    <row r="427" s="438" customFormat="1" x14ac:dyDescent="0.25"/>
    <row r="428" s="438" customFormat="1" x14ac:dyDescent="0.25"/>
    <row r="429" s="438" customFormat="1" x14ac:dyDescent="0.25"/>
    <row r="430" s="438" customFormat="1" x14ac:dyDescent="0.25"/>
    <row r="431" s="438" customFormat="1" x14ac:dyDescent="0.25"/>
    <row r="432" s="438" customFormat="1" x14ac:dyDescent="0.25"/>
    <row r="433" s="438" customFormat="1" x14ac:dyDescent="0.25"/>
    <row r="434" s="438" customFormat="1" x14ac:dyDescent="0.25"/>
    <row r="435" s="438" customFormat="1" x14ac:dyDescent="0.25"/>
    <row r="436" s="438" customFormat="1" x14ac:dyDescent="0.25"/>
    <row r="437" s="438" customFormat="1" x14ac:dyDescent="0.25"/>
    <row r="438" s="438" customFormat="1" x14ac:dyDescent="0.25"/>
    <row r="439" s="438" customFormat="1" x14ac:dyDescent="0.25"/>
    <row r="440" s="438" customFormat="1" x14ac:dyDescent="0.25"/>
    <row r="441" s="438" customFormat="1" x14ac:dyDescent="0.25"/>
    <row r="442" s="438" customFormat="1" x14ac:dyDescent="0.25"/>
    <row r="443" s="438" customFormat="1" x14ac:dyDescent="0.25"/>
    <row r="444" s="438" customFormat="1" x14ac:dyDescent="0.25"/>
    <row r="445" s="438" customFormat="1" x14ac:dyDescent="0.25"/>
    <row r="446" s="438" customFormat="1" x14ac:dyDescent="0.25"/>
    <row r="447" s="438" customFormat="1" x14ac:dyDescent="0.25"/>
    <row r="448" s="438" customFormat="1" x14ac:dyDescent="0.25"/>
    <row r="449" s="438" customFormat="1" x14ac:dyDescent="0.25"/>
    <row r="450" s="438" customFormat="1" x14ac:dyDescent="0.25"/>
    <row r="451" s="438" customFormat="1" x14ac:dyDescent="0.25"/>
    <row r="452" s="438" customFormat="1" x14ac:dyDescent="0.25"/>
    <row r="453" s="438" customFormat="1" x14ac:dyDescent="0.25"/>
    <row r="454" s="438" customFormat="1" x14ac:dyDescent="0.25"/>
    <row r="455" s="438" customFormat="1" x14ac:dyDescent="0.25"/>
    <row r="456" s="438" customFormat="1" x14ac:dyDescent="0.25"/>
    <row r="457" s="438" customFormat="1" x14ac:dyDescent="0.25"/>
    <row r="458" s="438" customFormat="1" x14ac:dyDescent="0.25"/>
    <row r="459" s="438" customFormat="1" x14ac:dyDescent="0.25"/>
    <row r="460" s="438" customFormat="1" x14ac:dyDescent="0.25"/>
    <row r="461" s="438" customFormat="1" x14ac:dyDescent="0.25"/>
    <row r="462" s="438" customFormat="1" x14ac:dyDescent="0.25"/>
    <row r="463" s="438" customFormat="1" x14ac:dyDescent="0.25"/>
    <row r="464" s="438" customFormat="1" x14ac:dyDescent="0.25"/>
    <row r="465" s="438" customFormat="1" x14ac:dyDescent="0.25"/>
    <row r="466" s="438" customFormat="1" x14ac:dyDescent="0.25"/>
    <row r="467" s="438" customFormat="1" x14ac:dyDescent="0.25"/>
    <row r="468" s="438" customFormat="1" x14ac:dyDescent="0.25"/>
    <row r="469" s="438" customFormat="1" x14ac:dyDescent="0.25"/>
    <row r="470" s="438" customFormat="1" x14ac:dyDescent="0.25"/>
    <row r="471" s="438" customFormat="1" x14ac:dyDescent="0.25"/>
    <row r="472" s="438" customFormat="1" x14ac:dyDescent="0.25"/>
    <row r="473" s="438" customFormat="1" x14ac:dyDescent="0.25"/>
    <row r="474" s="438" customFormat="1" x14ac:dyDescent="0.25"/>
    <row r="475" s="438" customFormat="1" x14ac:dyDescent="0.25"/>
    <row r="476" s="438" customFormat="1" x14ac:dyDescent="0.25"/>
    <row r="477" s="438" customFormat="1" x14ac:dyDescent="0.25"/>
    <row r="478" s="438" customFormat="1" x14ac:dyDescent="0.25"/>
    <row r="479" s="438" customFormat="1" x14ac:dyDescent="0.25"/>
    <row r="480" s="438" customFormat="1" x14ac:dyDescent="0.25"/>
    <row r="481" s="438" customFormat="1" x14ac:dyDescent="0.25"/>
    <row r="482" s="438" customFormat="1" x14ac:dyDescent="0.25"/>
    <row r="483" s="438" customFormat="1" x14ac:dyDescent="0.25"/>
    <row r="484" s="438" customFormat="1" x14ac:dyDescent="0.25"/>
    <row r="485" s="438" customFormat="1" x14ac:dyDescent="0.25"/>
    <row r="486" s="438" customFormat="1" x14ac:dyDescent="0.25"/>
    <row r="487" s="438" customFormat="1" x14ac:dyDescent="0.25"/>
    <row r="488" s="438" customFormat="1" x14ac:dyDescent="0.25"/>
    <row r="489" s="438" customFormat="1" x14ac:dyDescent="0.25"/>
    <row r="490" s="438" customFormat="1" x14ac:dyDescent="0.25"/>
    <row r="491" s="438" customFormat="1" x14ac:dyDescent="0.25"/>
    <row r="492" s="438" customFormat="1" x14ac:dyDescent="0.25"/>
    <row r="493" s="438" customFormat="1" x14ac:dyDescent="0.25"/>
    <row r="494" s="438" customFormat="1" x14ac:dyDescent="0.25"/>
    <row r="495" s="438" customFormat="1" x14ac:dyDescent="0.25"/>
    <row r="496" s="438" customFormat="1" x14ac:dyDescent="0.25"/>
    <row r="497" s="438" customFormat="1" x14ac:dyDescent="0.25"/>
    <row r="498" s="438" customFormat="1" x14ac:dyDescent="0.25"/>
    <row r="499" s="438" customFormat="1" x14ac:dyDescent="0.25"/>
    <row r="500" s="438" customFormat="1" x14ac:dyDescent="0.25"/>
    <row r="501" s="438" customFormat="1" x14ac:dyDescent="0.25"/>
    <row r="502" s="438" customFormat="1" x14ac:dyDescent="0.25"/>
    <row r="503" s="438" customFormat="1" x14ac:dyDescent="0.25"/>
    <row r="504" s="438" customFormat="1" x14ac:dyDescent="0.25"/>
    <row r="505" s="438" customFormat="1" x14ac:dyDescent="0.25"/>
    <row r="506" s="438" customFormat="1" x14ac:dyDescent="0.25"/>
    <row r="507" s="438" customFormat="1" x14ac:dyDescent="0.25"/>
    <row r="508" s="438" customFormat="1" x14ac:dyDescent="0.25"/>
    <row r="509" s="438" customFormat="1" x14ac:dyDescent="0.25"/>
    <row r="510" s="438" customFormat="1" x14ac:dyDescent="0.25"/>
    <row r="511" s="438" customFormat="1" x14ac:dyDescent="0.25"/>
    <row r="512" s="438" customFormat="1" x14ac:dyDescent="0.25"/>
    <row r="513" s="438" customFormat="1" x14ac:dyDescent="0.25"/>
    <row r="514" s="438" customFormat="1" x14ac:dyDescent="0.25"/>
    <row r="515" s="438" customFormat="1" x14ac:dyDescent="0.25"/>
    <row r="516" s="438" customFormat="1" x14ac:dyDescent="0.25"/>
    <row r="517" s="438" customFormat="1" x14ac:dyDescent="0.25"/>
    <row r="518" s="438" customFormat="1" x14ac:dyDescent="0.25"/>
    <row r="519" s="438" customFormat="1" x14ac:dyDescent="0.25"/>
    <row r="520" s="438" customFormat="1" x14ac:dyDescent="0.25"/>
    <row r="521" s="438" customFormat="1" x14ac:dyDescent="0.25"/>
    <row r="522" s="438" customFormat="1" x14ac:dyDescent="0.25"/>
    <row r="523" s="438" customFormat="1" x14ac:dyDescent="0.25"/>
    <row r="524" s="438" customFormat="1" x14ac:dyDescent="0.25"/>
    <row r="525" s="438" customFormat="1" x14ac:dyDescent="0.25"/>
    <row r="526" s="438" customFormat="1" x14ac:dyDescent="0.25"/>
    <row r="527" s="438" customFormat="1" x14ac:dyDescent="0.25"/>
    <row r="528" s="438" customFormat="1" x14ac:dyDescent="0.25"/>
    <row r="529" s="438" customFormat="1" x14ac:dyDescent="0.25"/>
    <row r="530" s="438" customFormat="1" x14ac:dyDescent="0.25"/>
    <row r="531" s="438" customFormat="1" x14ac:dyDescent="0.25"/>
    <row r="532" s="438" customFormat="1" x14ac:dyDescent="0.25"/>
    <row r="533" s="438" customFormat="1" x14ac:dyDescent="0.25"/>
    <row r="534" s="438" customFormat="1" x14ac:dyDescent="0.25"/>
    <row r="535" s="438" customFormat="1" x14ac:dyDescent="0.25"/>
    <row r="536" s="438" customFormat="1" x14ac:dyDescent="0.25"/>
    <row r="537" s="438" customFormat="1" x14ac:dyDescent="0.25"/>
    <row r="538" s="438" customFormat="1" x14ac:dyDescent="0.25"/>
    <row r="539" s="438" customFormat="1" x14ac:dyDescent="0.25"/>
    <row r="540" s="438" customFormat="1" x14ac:dyDescent="0.25"/>
    <row r="541" s="438" customFormat="1" x14ac:dyDescent="0.25"/>
    <row r="542" s="438" customFormat="1" x14ac:dyDescent="0.25"/>
    <row r="543" s="438" customFormat="1" x14ac:dyDescent="0.25"/>
    <row r="544" s="438" customFormat="1" x14ac:dyDescent="0.25"/>
    <row r="545" s="438" customFormat="1" x14ac:dyDescent="0.25"/>
    <row r="546" s="438" customFormat="1" x14ac:dyDescent="0.25"/>
    <row r="547" s="438" customFormat="1" x14ac:dyDescent="0.25"/>
    <row r="548" s="438" customFormat="1" x14ac:dyDescent="0.25"/>
    <row r="549" s="438" customFormat="1" x14ac:dyDescent="0.25"/>
    <row r="550" s="438" customFormat="1" x14ac:dyDescent="0.25"/>
    <row r="551" s="438" customFormat="1" x14ac:dyDescent="0.25"/>
    <row r="552" s="438" customFormat="1" x14ac:dyDescent="0.25"/>
    <row r="553" s="438" customFormat="1" x14ac:dyDescent="0.25"/>
    <row r="554" s="438" customFormat="1" x14ac:dyDescent="0.25"/>
    <row r="555" s="438" customFormat="1" x14ac:dyDescent="0.25"/>
    <row r="556" s="438" customFormat="1" x14ac:dyDescent="0.25"/>
    <row r="557" s="438" customFormat="1" x14ac:dyDescent="0.25"/>
    <row r="558" s="438" customFormat="1" x14ac:dyDescent="0.25"/>
  </sheetData>
  <mergeCells count="271">
    <mergeCell ref="G19:L19"/>
    <mergeCell ref="G24:I24"/>
    <mergeCell ref="O24:P24"/>
    <mergeCell ref="H25:I25"/>
    <mergeCell ref="G26:I26"/>
    <mergeCell ref="O26:P26"/>
    <mergeCell ref="C3:R3"/>
    <mergeCell ref="C4:R4"/>
    <mergeCell ref="C5:Q5"/>
    <mergeCell ref="C8:R8"/>
    <mergeCell ref="E14:P14"/>
    <mergeCell ref="E17:L17"/>
    <mergeCell ref="D10:I10"/>
    <mergeCell ref="H33:I33"/>
    <mergeCell ref="H34:I34"/>
    <mergeCell ref="O34:P34"/>
    <mergeCell ref="G35:I35"/>
    <mergeCell ref="H36:I36"/>
    <mergeCell ref="G37:I37"/>
    <mergeCell ref="H27:I27"/>
    <mergeCell ref="H28:I28"/>
    <mergeCell ref="H29:I29"/>
    <mergeCell ref="H30:I30"/>
    <mergeCell ref="H31:I31"/>
    <mergeCell ref="H32:I32"/>
    <mergeCell ref="K51:L51"/>
    <mergeCell ref="M77:P77"/>
    <mergeCell ref="H38:I38"/>
    <mergeCell ref="H39:I39"/>
    <mergeCell ref="M82:N82"/>
    <mergeCell ref="E77:I77"/>
    <mergeCell ref="H79:I79"/>
    <mergeCell ref="H80:I80"/>
    <mergeCell ref="G52:H52"/>
    <mergeCell ref="I52:J52"/>
    <mergeCell ref="K52:L52"/>
    <mergeCell ref="E47:P47"/>
    <mergeCell ref="E49:P49"/>
    <mergeCell ref="E51:F51"/>
    <mergeCell ref="G51:H51"/>
    <mergeCell ref="I51:J51"/>
    <mergeCell ref="K66:L66"/>
    <mergeCell ref="H81:I81"/>
    <mergeCell ref="H82:I82"/>
    <mergeCell ref="E60:P60"/>
    <mergeCell ref="E62:P62"/>
    <mergeCell ref="F64:H64"/>
    <mergeCell ref="I64:J64"/>
    <mergeCell ref="K64:L64"/>
    <mergeCell ref="G53:H53"/>
    <mergeCell ref="I53:J53"/>
    <mergeCell ref="K53:L53"/>
    <mergeCell ref="E75:P75"/>
    <mergeCell ref="E86:I86"/>
    <mergeCell ref="J86:L86"/>
    <mergeCell ref="E87:I87"/>
    <mergeCell ref="J87:L87"/>
    <mergeCell ref="E88:I88"/>
    <mergeCell ref="J88:L88"/>
    <mergeCell ref="G54:H54"/>
    <mergeCell ref="I54:J54"/>
    <mergeCell ref="K54:L54"/>
    <mergeCell ref="G55:H55"/>
    <mergeCell ref="I55:J55"/>
    <mergeCell ref="K55:L55"/>
    <mergeCell ref="F67:H67"/>
    <mergeCell ref="I67:J67"/>
    <mergeCell ref="K67:L67"/>
    <mergeCell ref="F68:H68"/>
    <mergeCell ref="I68:J68"/>
    <mergeCell ref="K68:L68"/>
    <mergeCell ref="F65:H65"/>
    <mergeCell ref="I65:J65"/>
    <mergeCell ref="K65:L65"/>
    <mergeCell ref="F66:H66"/>
    <mergeCell ref="I66:J66"/>
    <mergeCell ref="E92:I92"/>
    <mergeCell ref="J92:L92"/>
    <mergeCell ref="E93:I93"/>
    <mergeCell ref="J93:L93"/>
    <mergeCell ref="E95:P95"/>
    <mergeCell ref="J97:L97"/>
    <mergeCell ref="E89:I89"/>
    <mergeCell ref="J89:L89"/>
    <mergeCell ref="E90:I90"/>
    <mergeCell ref="J90:L90"/>
    <mergeCell ref="E91:I91"/>
    <mergeCell ref="J91:L91"/>
    <mergeCell ref="F97:I97"/>
    <mergeCell ref="G103:H103"/>
    <mergeCell ref="I103:J103"/>
    <mergeCell ref="K103:L103"/>
    <mergeCell ref="E106:P106"/>
    <mergeCell ref="F110:O110"/>
    <mergeCell ref="F111:G111"/>
    <mergeCell ref="H111:I111"/>
    <mergeCell ref="J111:L111"/>
    <mergeCell ref="J98:L98"/>
    <mergeCell ref="J99:L99"/>
    <mergeCell ref="J100:L100"/>
    <mergeCell ref="J101:L101"/>
    <mergeCell ref="G102:H102"/>
    <mergeCell ref="I102:J102"/>
    <mergeCell ref="K102:L102"/>
    <mergeCell ref="F115:O115"/>
    <mergeCell ref="F116:G116"/>
    <mergeCell ref="H116:I116"/>
    <mergeCell ref="J116:L116"/>
    <mergeCell ref="F117:G117"/>
    <mergeCell ref="H117:I117"/>
    <mergeCell ref="J117:L117"/>
    <mergeCell ref="F112:G112"/>
    <mergeCell ref="H112:I112"/>
    <mergeCell ref="J112:L112"/>
    <mergeCell ref="F113:G113"/>
    <mergeCell ref="H113:I113"/>
    <mergeCell ref="J113:L113"/>
    <mergeCell ref="F127:G127"/>
    <mergeCell ref="H127:I127"/>
    <mergeCell ref="J127:L127"/>
    <mergeCell ref="F128:G128"/>
    <mergeCell ref="H128:I128"/>
    <mergeCell ref="J128:L128"/>
    <mergeCell ref="E122:P122"/>
    <mergeCell ref="F125:G125"/>
    <mergeCell ref="H125:I125"/>
    <mergeCell ref="J125:L125"/>
    <mergeCell ref="F126:G126"/>
    <mergeCell ref="H126:I126"/>
    <mergeCell ref="J126:L126"/>
    <mergeCell ref="E147:F147"/>
    <mergeCell ref="E164:P164"/>
    <mergeCell ref="E166:P166"/>
    <mergeCell ref="F168:L168"/>
    <mergeCell ref="F169:L169"/>
    <mergeCell ref="F170:L170"/>
    <mergeCell ref="F129:G129"/>
    <mergeCell ref="H129:I129"/>
    <mergeCell ref="J129:L129"/>
    <mergeCell ref="C135:R135"/>
    <mergeCell ref="E139:P139"/>
    <mergeCell ref="E141:H141"/>
    <mergeCell ref="K152:M152"/>
    <mergeCell ref="K153:M153"/>
    <mergeCell ref="K154:M154"/>
    <mergeCell ref="G179:I179"/>
    <mergeCell ref="J179:L179"/>
    <mergeCell ref="G180:I180"/>
    <mergeCell ref="J180:L180"/>
    <mergeCell ref="G181:I181"/>
    <mergeCell ref="J181:L181"/>
    <mergeCell ref="F171:L171"/>
    <mergeCell ref="F172:L172"/>
    <mergeCell ref="F173:L173"/>
    <mergeCell ref="F174:L174"/>
    <mergeCell ref="F175:L175"/>
    <mergeCell ref="E177:P177"/>
    <mergeCell ref="F191:F192"/>
    <mergeCell ref="G191:I191"/>
    <mergeCell ref="J191:M191"/>
    <mergeCell ref="N191:N192"/>
    <mergeCell ref="O191:O192"/>
    <mergeCell ref="P191:P192"/>
    <mergeCell ref="H192:I192"/>
    <mergeCell ref="J192:L192"/>
    <mergeCell ref="G182:I182"/>
    <mergeCell ref="J182:L182"/>
    <mergeCell ref="G183:H183"/>
    <mergeCell ref="I183:J183"/>
    <mergeCell ref="K183:L183"/>
    <mergeCell ref="E187:P187"/>
    <mergeCell ref="D191:E192"/>
    <mergeCell ref="D189:P189"/>
    <mergeCell ref="H197:I197"/>
    <mergeCell ref="H198:I198"/>
    <mergeCell ref="J198:L198"/>
    <mergeCell ref="H199:I199"/>
    <mergeCell ref="J199:L199"/>
    <mergeCell ref="H200:I200"/>
    <mergeCell ref="J200:L200"/>
    <mergeCell ref="H193:I193"/>
    <mergeCell ref="J193:L193"/>
    <mergeCell ref="H194:I194"/>
    <mergeCell ref="H195:I195"/>
    <mergeCell ref="J195:L195"/>
    <mergeCell ref="H196:I196"/>
    <mergeCell ref="J196:L196"/>
    <mergeCell ref="H204:I204"/>
    <mergeCell ref="J204:L204"/>
    <mergeCell ref="H205:I205"/>
    <mergeCell ref="J205:L205"/>
    <mergeCell ref="H206:I206"/>
    <mergeCell ref="J206:L206"/>
    <mergeCell ref="H201:I201"/>
    <mergeCell ref="J201:L201"/>
    <mergeCell ref="H202:I202"/>
    <mergeCell ref="J202:L202"/>
    <mergeCell ref="H203:I203"/>
    <mergeCell ref="J203:L203"/>
    <mergeCell ref="J213:L213"/>
    <mergeCell ref="J214:L214"/>
    <mergeCell ref="J215:L215"/>
    <mergeCell ref="H211:I211"/>
    <mergeCell ref="J211:L211"/>
    <mergeCell ref="J212:L212"/>
    <mergeCell ref="H210:I210"/>
    <mergeCell ref="J210:L210"/>
    <mergeCell ref="H207:I207"/>
    <mergeCell ref="J207:L207"/>
    <mergeCell ref="H208:I208"/>
    <mergeCell ref="J208:L208"/>
    <mergeCell ref="H209:I209"/>
    <mergeCell ref="J209:L209"/>
    <mergeCell ref="H212:I212"/>
    <mergeCell ref="H213:I213"/>
    <mergeCell ref="H214:I214"/>
    <mergeCell ref="H215:I215"/>
    <mergeCell ref="J219:L219"/>
    <mergeCell ref="E224:P224"/>
    <mergeCell ref="H227:I227"/>
    <mergeCell ref="J227:L227"/>
    <mergeCell ref="H228:I228"/>
    <mergeCell ref="J228:L228"/>
    <mergeCell ref="J216:L216"/>
    <mergeCell ref="J217:L217"/>
    <mergeCell ref="J218:L218"/>
    <mergeCell ref="E225:P225"/>
    <mergeCell ref="J220:L220"/>
    <mergeCell ref="H216:I216"/>
    <mergeCell ref="H217:I217"/>
    <mergeCell ref="H218:I218"/>
    <mergeCell ref="H219:I219"/>
    <mergeCell ref="H220:I220"/>
    <mergeCell ref="H240:I240"/>
    <mergeCell ref="J240:L240"/>
    <mergeCell ref="E241:G241"/>
    <mergeCell ref="H241:I241"/>
    <mergeCell ref="J241:L241"/>
    <mergeCell ref="H229:I229"/>
    <mergeCell ref="J229:L229"/>
    <mergeCell ref="H230:I230"/>
    <mergeCell ref="J230:L230"/>
    <mergeCell ref="E235:P235"/>
    <mergeCell ref="E239:G239"/>
    <mergeCell ref="H239:I239"/>
    <mergeCell ref="J239:L239"/>
    <mergeCell ref="E237:Q237"/>
    <mergeCell ref="O52:O55"/>
    <mergeCell ref="E273:G273"/>
    <mergeCell ref="M273:O273"/>
    <mergeCell ref="E283:P283"/>
    <mergeCell ref="G261:J261"/>
    <mergeCell ref="K261:L261"/>
    <mergeCell ref="G262:J262"/>
    <mergeCell ref="K262:L262"/>
    <mergeCell ref="C268:R268"/>
    <mergeCell ref="E270:P270"/>
    <mergeCell ref="E253:G253"/>
    <mergeCell ref="H253:I253"/>
    <mergeCell ref="J253:K253"/>
    <mergeCell ref="L253:M253"/>
    <mergeCell ref="E257:P257"/>
    <mergeCell ref="G260:J260"/>
    <mergeCell ref="K260:L260"/>
    <mergeCell ref="C246:R246"/>
    <mergeCell ref="E249:P249"/>
    <mergeCell ref="E252:G252"/>
    <mergeCell ref="H252:I252"/>
    <mergeCell ref="J252:K252"/>
    <mergeCell ref="L252:M252"/>
    <mergeCell ref="E240:G240"/>
  </mergeCells>
  <conditionalFormatting sqref="F115:O115">
    <cfRule type="expression" dxfId="70" priority="1">
      <formula>$F$115="No diligenciar"</formula>
    </cfRule>
  </conditionalFormatting>
  <hyperlinks>
    <hyperlink ref="D10" location="'D. Recicladores'!G59" display="Si conoce las cantidades de vehículos, operarios y conductores haga clic aquí." xr:uid="{00000000-0004-0000-0800-000000000000}"/>
    <hyperlink ref="E49:P49" location="Instrucciones!E343" display="Indique la cantidad de vehículos por tipo de vehículo, el consumo de combustible por cada unidad de vehículo, la vida útil por tipo de vehículo, la cantidad de operarios de recolección por vehículo y la cantidad total de supervisores" xr:uid="{00000000-0004-0000-0800-000001000000}"/>
    <hyperlink ref="E62:P62" location="Instrucciones!E349" display="Indique el costo de los siguientes equipos y seleccione la fuente de los recursos " xr:uid="{00000000-0004-0000-0800-000002000000}"/>
    <hyperlink ref="E95:P95" location="Instrucciones!E358" display="Indique la fuente de los recursos para los pagos de cada tipo de cargo (sólo es válida una opción)" xr:uid="{00000000-0004-0000-0800-000003000000}"/>
    <hyperlink ref="E84" location="Instrucciones!E349" display="Diligencie en la siguiente tabla la información de salarios y costos laborales por tipo de trabajador" xr:uid="{00000000-0004-0000-0800-000004000000}"/>
    <hyperlink ref="F112:G112" location="Instrucciones!E361" display="Valor del combustible ($/galón)" xr:uid="{00000000-0004-0000-0800-000005000000}"/>
    <hyperlink ref="F113:G113" location="Instrucciones!E362" display="Costo del mantenimiento ($/mes)" xr:uid="{00000000-0004-0000-0800-000006000000}"/>
    <hyperlink ref="F117:G117" location="Instrucciones!E362" display="Costo del mantenimiento ($/mes)" xr:uid="{00000000-0004-0000-0800-000007000000}"/>
    <hyperlink ref="E123" location="Instrucciones!E363" display="Indique la información de costos fijos para cada uno de los tipos de vehículos" xr:uid="{00000000-0004-0000-0800-000008000000}"/>
    <hyperlink ref="E141:H141" location="Instrucciones!E368" display="Instrucciones!E368" xr:uid="{00000000-0004-0000-0800-000009000000}"/>
    <hyperlink ref="K142" location="Instrucciones!E370" display="Area de cada uno de los centros de acopio (m2)" xr:uid="{00000000-0004-0000-0800-00000A000000}"/>
    <hyperlink ref="K143" location="Instrucciones!E371" display="Capacidad de contenedores móviles (Ton)" xr:uid="{00000000-0004-0000-0800-00000B000000}"/>
    <hyperlink ref="K144" location="Instrucciones!E372" display="Porcentaje de rechazo en centro de acopio (%)" xr:uid="{00000000-0004-0000-0800-00000C000000}"/>
    <hyperlink ref="K145" location="Instrucciones!E373" display="Vida útil de maquinaria y equipos (años)" xr:uid="{00000000-0004-0000-0800-00000D000000}"/>
    <hyperlink ref="K148" location="Instrucciones!E378" display="Elija una opción para la cantidad de operarios de separación" xr:uid="{00000000-0004-0000-0800-00000E000000}"/>
    <hyperlink ref="E166:P166" location="Instrucciones!E349" display="Diligencie en la siguiente tabla la información de salarios y costos laborales por tipo de trabajador" xr:uid="{00000000-0004-0000-0800-00000F000000}"/>
    <hyperlink ref="E177:P177" location="Instrucciones!E358" display="Indique la fuente de los recursos para los pagos de cada tipo de cargo (sólo es válida una opción)" xr:uid="{00000000-0004-0000-0800-000010000000}"/>
    <hyperlink ref="D189" location="Instrucciones!E390" display="Indique el valor de los siguientes equipos en el centro de acopio y seleccione la fuente de los recursos de cada uno (sólo es válida una opción)" xr:uid="{00000000-0004-0000-0800-000011000000}"/>
    <hyperlink ref="E225:P225" location="Instrucciones!E396" display="Diligencie la información requerida sobre los costos de operación y manteimiento de la maquinaria, equipo e instalaciones y seleccione la fuente de los recursos (sólo es válida una opción)" xr:uid="{00000000-0004-0000-0800-000012000000}"/>
    <hyperlink ref="E237:Q237" location="Instrucciones!E401" display="Diligencie la información sobre los costos de arrendamiento y demás costos fijos. Seleccione la fuente de los recursos (sólo es válida una opción)" xr:uid="{00000000-0004-0000-0800-000013000000}"/>
    <hyperlink ref="E253:G253" location="Instrucciones!E411" display="Gastos de administración" xr:uid="{00000000-0004-0000-0800-000014000000}"/>
    <hyperlink ref="G261:J261" location="Instrucciones!E413" display="Costo pormedio ponderado de capital " xr:uid="{00000000-0004-0000-0800-000015000000}"/>
    <hyperlink ref="G262:J262" location="Instrucciones!E414" display="Ciclo de Efectivo" xr:uid="{00000000-0004-0000-0800-000016000000}"/>
    <hyperlink ref="E271" location="Instrucciones!E420" display="Diligencie la información sobre el precio de compra y venta de los materiales reciclables" xr:uid="{00000000-0004-0000-0800-000017000000}"/>
    <hyperlink ref="E284" location="Instrucciones!E424" display="Señale los valores por remuneración del servicio de reciclaje, dependiendo de cada actividad." xr:uid="{00000000-0004-0000-0800-000018000000}"/>
    <hyperlink ref="E26" location="Instrucciones!E314" display="Indique la medida de la capacidad" xr:uid="{00000000-0004-0000-0800-000019000000}"/>
    <hyperlink ref="E28" location="Instrucciones!E317" display="Tiempo de transporte, ida y regreso (horas)" xr:uid="{00000000-0004-0000-0800-00001A000000}"/>
    <hyperlink ref="E19" location="Instrucciones!E312" display="Elija un tipo de equipo para la recolección:" xr:uid="{00000000-0004-0000-0800-00001B000000}"/>
    <hyperlink ref="E29" location="Instrucciones!E318" display="Instrucciones!E318" xr:uid="{00000000-0004-0000-0800-00001C000000}"/>
    <hyperlink ref="E30" location="Instrucciones!E319" display="Tiempo de alistamiento (horas)" xr:uid="{00000000-0004-0000-0800-00001D000000}"/>
    <hyperlink ref="E31" location="Instrucciones!E320" display="Tiempo en sitio de descarga (horas)" xr:uid="{00000000-0004-0000-0800-00001E000000}"/>
    <hyperlink ref="E32" location="Instrucciones!E322" display="Número de operarios de recolección por vehículo" xr:uid="{00000000-0004-0000-0800-00001F000000}"/>
    <hyperlink ref="E33" location="Instrucciones!E324" display="Porcentaje de equipos de respaldo" xr:uid="{00000000-0004-0000-0800-000020000000}"/>
    <hyperlink ref="E34" location="Instrucciones!E325" display="Vida útil de vehículos / equipos (años)" xr:uid="{00000000-0004-0000-0800-000021000000}"/>
    <hyperlink ref="E35" location="Instrucciones!E326" display="Medida de consumo de combustible" xr:uid="{00000000-0004-0000-0800-000022000000}"/>
    <hyperlink ref="E37" location="Instrucciones!E328" display="Indique la medida de distancia" xr:uid="{00000000-0004-0000-0800-000023000000}"/>
    <hyperlink ref="E77:I77" location="Instrucciones!E337" display="Información Laboral General" xr:uid="{00000000-0004-0000-0800-000024000000}"/>
    <hyperlink ref="M26" location="Instrucciones!E314" display="Indique la medida de la capacidad" xr:uid="{00000000-0004-0000-0800-000025000000}"/>
    <hyperlink ref="M28" location="Instrucciones!E318" display="Tiempo de recolección (horas)" xr:uid="{00000000-0004-0000-0800-000026000000}"/>
    <hyperlink ref="M29" location="Instrucciones!E319" display="Tiempo de alistamiento (horas)" xr:uid="{00000000-0004-0000-0800-000027000000}"/>
    <hyperlink ref="M30" location="Instrucciones!E320" display="Tiempo en sitio de descarga (horas)" xr:uid="{00000000-0004-0000-0800-000028000000}"/>
    <hyperlink ref="M31" location="Instrucciones!E322" display="Número de operarios de recolección" xr:uid="{00000000-0004-0000-0800-000029000000}"/>
    <hyperlink ref="M32" location="Instrucciones!E324" display="Porcentaje de equipos de respaldo" xr:uid="{00000000-0004-0000-0800-00002A000000}"/>
    <hyperlink ref="M33" location="Instrucciones!E325" display="Vida útil de vehículos / equipos (años)" xr:uid="{00000000-0004-0000-0800-00002B000000}"/>
    <hyperlink ref="M34" location="Instrucciones!E328" display="Indique la medida de distancia" xr:uid="{00000000-0004-0000-0800-00002C000000}"/>
    <hyperlink ref="M37:Q37" location="Instrucciones!E337" display="Información Laboral General" xr:uid="{00000000-0004-0000-0800-00002D000000}"/>
  </hyperlinks>
  <pageMargins left="0.7" right="0.7" top="0.75" bottom="0.75" header="0.3" footer="0.3"/>
  <pageSetup paperSize="9" orientation="portrait" r:id="rId1"/>
  <ignoredErrors>
    <ignoredError sqref="I149 G149 J197:L197 M194 K230:L230 K195:L195 K196:L196 K198:L198 M197 K228:L228 K229:L229" evalError="1"/>
  </ignoredErrors>
  <drawing r:id="rId2"/>
  <legacyDrawing r:id="rId3"/>
  <controls>
    <mc:AlternateContent xmlns:mc="http://schemas.openxmlformats.org/markup-compatibility/2006">
      <mc:Choice Requires="x14">
        <control shapeId="35841" r:id="rId4" name="OptionButton24">
          <controlPr defaultSize="0" autoLine="0" linkedCell="'C.Prestador'!C99" r:id="rId5">
            <anchor moveWithCells="1">
              <from>
                <xdr:col>6</xdr:col>
                <xdr:colOff>95250</xdr:colOff>
                <xdr:row>140</xdr:row>
                <xdr:rowOff>190500</xdr:rowOff>
              </from>
              <to>
                <xdr:col>8</xdr:col>
                <xdr:colOff>619125</xdr:colOff>
                <xdr:row>142</xdr:row>
                <xdr:rowOff>114300</xdr:rowOff>
              </to>
            </anchor>
          </controlPr>
        </control>
      </mc:Choice>
      <mc:Fallback>
        <control shapeId="35841" r:id="rId4" name="OptionButton24"/>
      </mc:Fallback>
    </mc:AlternateContent>
    <mc:AlternateContent xmlns:mc="http://schemas.openxmlformats.org/markup-compatibility/2006">
      <mc:Choice Requires="x14">
        <control shapeId="35842" r:id="rId6" name="OptionButton25">
          <controlPr defaultSize="0" autoLine="0" linkedCell="'C.Prestador'!C100" r:id="rId7">
            <anchor moveWithCells="1">
              <from>
                <xdr:col>4</xdr:col>
                <xdr:colOff>1609725</xdr:colOff>
                <xdr:row>140</xdr:row>
                <xdr:rowOff>142875</xdr:rowOff>
              </from>
              <to>
                <xdr:col>6</xdr:col>
                <xdr:colOff>114300</xdr:colOff>
                <xdr:row>143</xdr:row>
                <xdr:rowOff>9525</xdr:rowOff>
              </to>
            </anchor>
          </controlPr>
        </control>
      </mc:Choice>
      <mc:Fallback>
        <control shapeId="35842" r:id="rId6" name="OptionButton25"/>
      </mc:Fallback>
    </mc:AlternateContent>
    <mc:AlternateContent xmlns:mc="http://schemas.openxmlformats.org/markup-compatibility/2006">
      <mc:Choice Requires="x14">
        <control shapeId="35843" r:id="rId8" name="OptionButton26">
          <controlPr defaultSize="0" autoLine="0" linkedCell="'C.Prestador'!C104" r:id="rId9">
            <anchor moveWithCells="1">
              <from>
                <xdr:col>10</xdr:col>
                <xdr:colOff>9525</xdr:colOff>
                <xdr:row>148</xdr:row>
                <xdr:rowOff>85725</xdr:rowOff>
              </from>
              <to>
                <xdr:col>12</xdr:col>
                <xdr:colOff>1038225</xdr:colOff>
                <xdr:row>149</xdr:row>
                <xdr:rowOff>171450</xdr:rowOff>
              </to>
            </anchor>
          </controlPr>
        </control>
      </mc:Choice>
      <mc:Fallback>
        <control shapeId="35843" r:id="rId8" name="OptionButton26"/>
      </mc:Fallback>
    </mc:AlternateContent>
    <mc:AlternateContent xmlns:mc="http://schemas.openxmlformats.org/markup-compatibility/2006">
      <mc:Choice Requires="x14">
        <control shapeId="35844" r:id="rId10" name="OptionButton27">
          <controlPr defaultSize="0" autoLine="0" linkedCell="'C.Prestador'!C105" r:id="rId11">
            <anchor moveWithCells="1">
              <from>
                <xdr:col>13</xdr:col>
                <xdr:colOff>0</xdr:colOff>
                <xdr:row>148</xdr:row>
                <xdr:rowOff>104775</xdr:rowOff>
              </from>
              <to>
                <xdr:col>15</xdr:col>
                <xdr:colOff>228600</xdr:colOff>
                <xdr:row>149</xdr:row>
                <xdr:rowOff>133350</xdr:rowOff>
              </to>
            </anchor>
          </controlPr>
        </control>
      </mc:Choice>
      <mc:Fallback>
        <control shapeId="35844" r:id="rId10" name="OptionButton27"/>
      </mc:Fallback>
    </mc:AlternateContent>
    <mc:AlternateContent xmlns:mc="http://schemas.openxmlformats.org/markup-compatibility/2006">
      <mc:Choice Requires="x14">
        <control shapeId="35848" r:id="rId12" name="OptionButton1">
          <controlPr defaultSize="0" autoLine="0" linkedCell="'C.Prestador'!M40" r:id="rId13">
            <anchor moveWithCells="1">
              <from>
                <xdr:col>12</xdr:col>
                <xdr:colOff>523875</xdr:colOff>
                <xdr:row>64</xdr:row>
                <xdr:rowOff>28575</xdr:rowOff>
              </from>
              <to>
                <xdr:col>12</xdr:col>
                <xdr:colOff>762000</xdr:colOff>
                <xdr:row>64</xdr:row>
                <xdr:rowOff>219075</xdr:rowOff>
              </to>
            </anchor>
          </controlPr>
        </control>
      </mc:Choice>
      <mc:Fallback>
        <control shapeId="35848" r:id="rId12" name="OptionButton1"/>
      </mc:Fallback>
    </mc:AlternateContent>
    <mc:AlternateContent xmlns:mc="http://schemas.openxmlformats.org/markup-compatibility/2006">
      <mc:Choice Requires="x14">
        <control shapeId="35849" r:id="rId14" name="OptionButton2">
          <controlPr defaultSize="0" autoLine="0" linkedCell="'C.Prestador'!N40" r:id="rId15">
            <anchor moveWithCells="1">
              <from>
                <xdr:col>13</xdr:col>
                <xdr:colOff>466725</xdr:colOff>
                <xdr:row>64</xdr:row>
                <xdr:rowOff>28575</xdr:rowOff>
              </from>
              <to>
                <xdr:col>13</xdr:col>
                <xdr:colOff>704850</xdr:colOff>
                <xdr:row>64</xdr:row>
                <xdr:rowOff>219075</xdr:rowOff>
              </to>
            </anchor>
          </controlPr>
        </control>
      </mc:Choice>
      <mc:Fallback>
        <control shapeId="35849" r:id="rId14" name="OptionButton2"/>
      </mc:Fallback>
    </mc:AlternateContent>
    <mc:AlternateContent xmlns:mc="http://schemas.openxmlformats.org/markup-compatibility/2006">
      <mc:Choice Requires="x14">
        <control shapeId="35850" r:id="rId16" name="OptionButton6">
          <controlPr defaultSize="0" autoLine="0" linkedCell="'C.Prestador'!O40" r:id="rId15">
            <anchor moveWithCells="1">
              <from>
                <xdr:col>14</xdr:col>
                <xdr:colOff>466725</xdr:colOff>
                <xdr:row>64</xdr:row>
                <xdr:rowOff>28575</xdr:rowOff>
              </from>
              <to>
                <xdr:col>14</xdr:col>
                <xdr:colOff>704850</xdr:colOff>
                <xdr:row>64</xdr:row>
                <xdr:rowOff>219075</xdr:rowOff>
              </to>
            </anchor>
          </controlPr>
        </control>
      </mc:Choice>
      <mc:Fallback>
        <control shapeId="35850" r:id="rId16" name="OptionButton6"/>
      </mc:Fallback>
    </mc:AlternateContent>
    <mc:AlternateContent xmlns:mc="http://schemas.openxmlformats.org/markup-compatibility/2006">
      <mc:Choice Requires="x14">
        <control shapeId="35851" r:id="rId17" name="OptionButton7">
          <controlPr defaultSize="0" autoLine="0" linkedCell="'C.Prestador'!M41" r:id="rId13">
            <anchor moveWithCells="1">
              <from>
                <xdr:col>12</xdr:col>
                <xdr:colOff>523875</xdr:colOff>
                <xdr:row>65</xdr:row>
                <xdr:rowOff>28575</xdr:rowOff>
              </from>
              <to>
                <xdr:col>12</xdr:col>
                <xdr:colOff>762000</xdr:colOff>
                <xdr:row>65</xdr:row>
                <xdr:rowOff>219075</xdr:rowOff>
              </to>
            </anchor>
          </controlPr>
        </control>
      </mc:Choice>
      <mc:Fallback>
        <control shapeId="35851" r:id="rId17" name="OptionButton7"/>
      </mc:Fallback>
    </mc:AlternateContent>
    <mc:AlternateContent xmlns:mc="http://schemas.openxmlformats.org/markup-compatibility/2006">
      <mc:Choice Requires="x14">
        <control shapeId="35852" r:id="rId18" name="OptionButton8">
          <controlPr defaultSize="0" autoLine="0" linkedCell="'C.Prestador'!N41" r:id="rId15">
            <anchor moveWithCells="1">
              <from>
                <xdr:col>13</xdr:col>
                <xdr:colOff>466725</xdr:colOff>
                <xdr:row>65</xdr:row>
                <xdr:rowOff>38100</xdr:rowOff>
              </from>
              <to>
                <xdr:col>13</xdr:col>
                <xdr:colOff>704850</xdr:colOff>
                <xdr:row>65</xdr:row>
                <xdr:rowOff>228600</xdr:rowOff>
              </to>
            </anchor>
          </controlPr>
        </control>
      </mc:Choice>
      <mc:Fallback>
        <control shapeId="35852" r:id="rId18" name="OptionButton8"/>
      </mc:Fallback>
    </mc:AlternateContent>
    <mc:AlternateContent xmlns:mc="http://schemas.openxmlformats.org/markup-compatibility/2006">
      <mc:Choice Requires="x14">
        <control shapeId="35853" r:id="rId19" name="OptionButton9">
          <controlPr defaultSize="0" autoLine="0" linkedCell="'C.Prestador'!O41" r:id="rId15">
            <anchor moveWithCells="1">
              <from>
                <xdr:col>14</xdr:col>
                <xdr:colOff>466725</xdr:colOff>
                <xdr:row>65</xdr:row>
                <xdr:rowOff>28575</xdr:rowOff>
              </from>
              <to>
                <xdr:col>14</xdr:col>
                <xdr:colOff>704850</xdr:colOff>
                <xdr:row>65</xdr:row>
                <xdr:rowOff>219075</xdr:rowOff>
              </to>
            </anchor>
          </controlPr>
        </control>
      </mc:Choice>
      <mc:Fallback>
        <control shapeId="35853" r:id="rId19" name="OptionButton9"/>
      </mc:Fallback>
    </mc:AlternateContent>
    <mc:AlternateContent xmlns:mc="http://schemas.openxmlformats.org/markup-compatibility/2006">
      <mc:Choice Requires="x14">
        <control shapeId="35854" r:id="rId20" name="OptionButton10">
          <controlPr defaultSize="0" autoLine="0" linkedCell="'C.Prestador'!M42" r:id="rId13">
            <anchor moveWithCells="1">
              <from>
                <xdr:col>12</xdr:col>
                <xdr:colOff>523875</xdr:colOff>
                <xdr:row>66</xdr:row>
                <xdr:rowOff>28575</xdr:rowOff>
              </from>
              <to>
                <xdr:col>12</xdr:col>
                <xdr:colOff>762000</xdr:colOff>
                <xdr:row>66</xdr:row>
                <xdr:rowOff>219075</xdr:rowOff>
              </to>
            </anchor>
          </controlPr>
        </control>
      </mc:Choice>
      <mc:Fallback>
        <control shapeId="35854" r:id="rId20" name="OptionButton10"/>
      </mc:Fallback>
    </mc:AlternateContent>
    <mc:AlternateContent xmlns:mc="http://schemas.openxmlformats.org/markup-compatibility/2006">
      <mc:Choice Requires="x14">
        <control shapeId="35855" r:id="rId21" name="OptionButton11">
          <controlPr defaultSize="0" autoLine="0" linkedCell="'C.Prestador'!N42" r:id="rId15">
            <anchor moveWithCells="1">
              <from>
                <xdr:col>13</xdr:col>
                <xdr:colOff>466725</xdr:colOff>
                <xdr:row>66</xdr:row>
                <xdr:rowOff>19050</xdr:rowOff>
              </from>
              <to>
                <xdr:col>13</xdr:col>
                <xdr:colOff>704850</xdr:colOff>
                <xdr:row>66</xdr:row>
                <xdr:rowOff>209550</xdr:rowOff>
              </to>
            </anchor>
          </controlPr>
        </control>
      </mc:Choice>
      <mc:Fallback>
        <control shapeId="35855" r:id="rId21" name="OptionButton11"/>
      </mc:Fallback>
    </mc:AlternateContent>
    <mc:AlternateContent xmlns:mc="http://schemas.openxmlformats.org/markup-compatibility/2006">
      <mc:Choice Requires="x14">
        <control shapeId="35856" r:id="rId22" name="OptionButton12">
          <controlPr defaultSize="0" autoLine="0" linkedCell="'C.Prestador'!O42" r:id="rId15">
            <anchor moveWithCells="1">
              <from>
                <xdr:col>14</xdr:col>
                <xdr:colOff>476250</xdr:colOff>
                <xdr:row>66</xdr:row>
                <xdr:rowOff>38100</xdr:rowOff>
              </from>
              <to>
                <xdr:col>14</xdr:col>
                <xdr:colOff>714375</xdr:colOff>
                <xdr:row>66</xdr:row>
                <xdr:rowOff>228600</xdr:rowOff>
              </to>
            </anchor>
          </controlPr>
        </control>
      </mc:Choice>
      <mc:Fallback>
        <control shapeId="35856" r:id="rId22" name="OptionButton12"/>
      </mc:Fallback>
    </mc:AlternateContent>
    <mc:AlternateContent xmlns:mc="http://schemas.openxmlformats.org/markup-compatibility/2006">
      <mc:Choice Requires="x14">
        <control shapeId="35857" r:id="rId23" name="OptionButton13">
          <controlPr defaultSize="0" autoLine="0" linkedCell="'C.Prestador'!M43" r:id="rId13">
            <anchor moveWithCells="1">
              <from>
                <xdr:col>12</xdr:col>
                <xdr:colOff>514350</xdr:colOff>
                <xdr:row>67</xdr:row>
                <xdr:rowOff>47625</xdr:rowOff>
              </from>
              <to>
                <xdr:col>12</xdr:col>
                <xdr:colOff>752475</xdr:colOff>
                <xdr:row>67</xdr:row>
                <xdr:rowOff>238125</xdr:rowOff>
              </to>
            </anchor>
          </controlPr>
        </control>
      </mc:Choice>
      <mc:Fallback>
        <control shapeId="35857" r:id="rId23" name="OptionButton13"/>
      </mc:Fallback>
    </mc:AlternateContent>
    <mc:AlternateContent xmlns:mc="http://schemas.openxmlformats.org/markup-compatibility/2006">
      <mc:Choice Requires="x14">
        <control shapeId="35858" r:id="rId24" name="OptionButton14">
          <controlPr defaultSize="0" autoLine="0" linkedCell="'C.Prestador'!N43" r:id="rId15">
            <anchor moveWithCells="1">
              <from>
                <xdr:col>13</xdr:col>
                <xdr:colOff>485775</xdr:colOff>
                <xdr:row>67</xdr:row>
                <xdr:rowOff>47625</xdr:rowOff>
              </from>
              <to>
                <xdr:col>13</xdr:col>
                <xdr:colOff>723900</xdr:colOff>
                <xdr:row>67</xdr:row>
                <xdr:rowOff>238125</xdr:rowOff>
              </to>
            </anchor>
          </controlPr>
        </control>
      </mc:Choice>
      <mc:Fallback>
        <control shapeId="35858" r:id="rId24" name="OptionButton14"/>
      </mc:Fallback>
    </mc:AlternateContent>
    <mc:AlternateContent xmlns:mc="http://schemas.openxmlformats.org/markup-compatibility/2006">
      <mc:Choice Requires="x14">
        <control shapeId="35859" r:id="rId25" name="OptionButton15">
          <controlPr defaultSize="0" autoLine="0" linkedCell="'C.Prestador'!O43" r:id="rId15">
            <anchor moveWithCells="1">
              <from>
                <xdr:col>14</xdr:col>
                <xdr:colOff>476250</xdr:colOff>
                <xdr:row>67</xdr:row>
                <xdr:rowOff>57150</xdr:rowOff>
              </from>
              <to>
                <xdr:col>14</xdr:col>
                <xdr:colOff>714375</xdr:colOff>
                <xdr:row>67</xdr:row>
                <xdr:rowOff>247650</xdr:rowOff>
              </to>
            </anchor>
          </controlPr>
        </control>
      </mc:Choice>
      <mc:Fallback>
        <control shapeId="35859" r:id="rId25" name="OptionButton15"/>
      </mc:Fallback>
    </mc:AlternateContent>
    <mc:AlternateContent xmlns:mc="http://schemas.openxmlformats.org/markup-compatibility/2006">
      <mc:Choice Requires="x14">
        <control shapeId="35860" r:id="rId26" name="OptionButton16">
          <controlPr defaultSize="0" autoLine="0" linkedCell="'C.Prestador'!M61" r:id="rId15">
            <anchor moveWithCells="1">
              <from>
                <xdr:col>10</xdr:col>
                <xdr:colOff>161925</xdr:colOff>
                <xdr:row>97</xdr:row>
                <xdr:rowOff>104775</xdr:rowOff>
              </from>
              <to>
                <xdr:col>10</xdr:col>
                <xdr:colOff>400050</xdr:colOff>
                <xdr:row>97</xdr:row>
                <xdr:rowOff>295275</xdr:rowOff>
              </to>
            </anchor>
          </controlPr>
        </control>
      </mc:Choice>
      <mc:Fallback>
        <control shapeId="35860" r:id="rId26" name="OptionButton16"/>
      </mc:Fallback>
    </mc:AlternateContent>
    <mc:AlternateContent xmlns:mc="http://schemas.openxmlformats.org/markup-compatibility/2006">
      <mc:Choice Requires="x14">
        <control shapeId="35861" r:id="rId27" name="OptionButton17">
          <controlPr defaultSize="0" autoLine="0" linkedCell="'C.Prestador'!N61" r:id="rId15">
            <anchor moveWithCells="1">
              <from>
                <xdr:col>12</xdr:col>
                <xdr:colOff>476250</xdr:colOff>
                <xdr:row>97</xdr:row>
                <xdr:rowOff>95250</xdr:rowOff>
              </from>
              <to>
                <xdr:col>12</xdr:col>
                <xdr:colOff>714375</xdr:colOff>
                <xdr:row>97</xdr:row>
                <xdr:rowOff>285750</xdr:rowOff>
              </to>
            </anchor>
          </controlPr>
        </control>
      </mc:Choice>
      <mc:Fallback>
        <control shapeId="35861" r:id="rId27" name="OptionButton17"/>
      </mc:Fallback>
    </mc:AlternateContent>
    <mc:AlternateContent xmlns:mc="http://schemas.openxmlformats.org/markup-compatibility/2006">
      <mc:Choice Requires="x14">
        <control shapeId="35862" r:id="rId28" name="OptionButton18">
          <controlPr defaultSize="0" autoLine="0" linkedCell="'C.Prestador'!O61" r:id="rId13">
            <anchor moveWithCells="1">
              <from>
                <xdr:col>13</xdr:col>
                <xdr:colOff>466725</xdr:colOff>
                <xdr:row>97</xdr:row>
                <xdr:rowOff>85725</xdr:rowOff>
              </from>
              <to>
                <xdr:col>13</xdr:col>
                <xdr:colOff>704850</xdr:colOff>
                <xdr:row>97</xdr:row>
                <xdr:rowOff>276225</xdr:rowOff>
              </to>
            </anchor>
          </controlPr>
        </control>
      </mc:Choice>
      <mc:Fallback>
        <control shapeId="35862" r:id="rId28" name="OptionButton18"/>
      </mc:Fallback>
    </mc:AlternateContent>
    <mc:AlternateContent xmlns:mc="http://schemas.openxmlformats.org/markup-compatibility/2006">
      <mc:Choice Requires="x14">
        <control shapeId="35863" r:id="rId29" name="OptionButton19">
          <controlPr defaultSize="0" autoLine="0" linkedCell="'C.Prestador'!M62" r:id="rId15">
            <anchor moveWithCells="1">
              <from>
                <xdr:col>10</xdr:col>
                <xdr:colOff>142875</xdr:colOff>
                <xdr:row>98</xdr:row>
                <xdr:rowOff>114300</xdr:rowOff>
              </from>
              <to>
                <xdr:col>10</xdr:col>
                <xdr:colOff>381000</xdr:colOff>
                <xdr:row>98</xdr:row>
                <xdr:rowOff>304800</xdr:rowOff>
              </to>
            </anchor>
          </controlPr>
        </control>
      </mc:Choice>
      <mc:Fallback>
        <control shapeId="35863" r:id="rId29" name="OptionButton19"/>
      </mc:Fallback>
    </mc:AlternateContent>
    <mc:AlternateContent xmlns:mc="http://schemas.openxmlformats.org/markup-compatibility/2006">
      <mc:Choice Requires="x14">
        <control shapeId="35864" r:id="rId30" name="OptionButton20">
          <controlPr defaultSize="0" autoLine="0" linkedCell="'C.Prestador'!N62" r:id="rId15">
            <anchor moveWithCells="1">
              <from>
                <xdr:col>12</xdr:col>
                <xdr:colOff>457200</xdr:colOff>
                <xdr:row>98</xdr:row>
                <xdr:rowOff>95250</xdr:rowOff>
              </from>
              <to>
                <xdr:col>12</xdr:col>
                <xdr:colOff>695325</xdr:colOff>
                <xdr:row>98</xdr:row>
                <xdr:rowOff>285750</xdr:rowOff>
              </to>
            </anchor>
          </controlPr>
        </control>
      </mc:Choice>
      <mc:Fallback>
        <control shapeId="35864" r:id="rId30" name="OptionButton20"/>
      </mc:Fallback>
    </mc:AlternateContent>
    <mc:AlternateContent xmlns:mc="http://schemas.openxmlformats.org/markup-compatibility/2006">
      <mc:Choice Requires="x14">
        <control shapeId="35865" r:id="rId31" name="OptionButton21">
          <controlPr defaultSize="0" autoLine="0" linkedCell="'C.Prestador'!O62" r:id="rId13">
            <anchor moveWithCells="1">
              <from>
                <xdr:col>13</xdr:col>
                <xdr:colOff>447675</xdr:colOff>
                <xdr:row>98</xdr:row>
                <xdr:rowOff>104775</xdr:rowOff>
              </from>
              <to>
                <xdr:col>13</xdr:col>
                <xdr:colOff>685800</xdr:colOff>
                <xdr:row>98</xdr:row>
                <xdr:rowOff>295275</xdr:rowOff>
              </to>
            </anchor>
          </controlPr>
        </control>
      </mc:Choice>
      <mc:Fallback>
        <control shapeId="35865" r:id="rId31" name="OptionButton21"/>
      </mc:Fallback>
    </mc:AlternateContent>
    <mc:AlternateContent xmlns:mc="http://schemas.openxmlformats.org/markup-compatibility/2006">
      <mc:Choice Requires="x14">
        <control shapeId="35866" r:id="rId32" name="OptionButton22">
          <controlPr defaultSize="0" autoLine="0" linkedCell="'C.Prestador'!M63" r:id="rId15">
            <anchor moveWithCells="1">
              <from>
                <xdr:col>10</xdr:col>
                <xdr:colOff>142875</xdr:colOff>
                <xdr:row>99</xdr:row>
                <xdr:rowOff>133350</xdr:rowOff>
              </from>
              <to>
                <xdr:col>10</xdr:col>
                <xdr:colOff>381000</xdr:colOff>
                <xdr:row>99</xdr:row>
                <xdr:rowOff>323850</xdr:rowOff>
              </to>
            </anchor>
          </controlPr>
        </control>
      </mc:Choice>
      <mc:Fallback>
        <control shapeId="35866" r:id="rId32" name="OptionButton22"/>
      </mc:Fallback>
    </mc:AlternateContent>
    <mc:AlternateContent xmlns:mc="http://schemas.openxmlformats.org/markup-compatibility/2006">
      <mc:Choice Requires="x14">
        <control shapeId="35867" r:id="rId33" name="OptionButton23">
          <controlPr defaultSize="0" autoLine="0" linkedCell="'C.Prestador'!N63" r:id="rId15">
            <anchor moveWithCells="1">
              <from>
                <xdr:col>12</xdr:col>
                <xdr:colOff>457200</xdr:colOff>
                <xdr:row>99</xdr:row>
                <xdr:rowOff>76200</xdr:rowOff>
              </from>
              <to>
                <xdr:col>12</xdr:col>
                <xdr:colOff>695325</xdr:colOff>
                <xdr:row>99</xdr:row>
                <xdr:rowOff>266700</xdr:rowOff>
              </to>
            </anchor>
          </controlPr>
        </control>
      </mc:Choice>
      <mc:Fallback>
        <control shapeId="35867" r:id="rId33" name="OptionButton23"/>
      </mc:Fallback>
    </mc:AlternateContent>
    <mc:AlternateContent xmlns:mc="http://schemas.openxmlformats.org/markup-compatibility/2006">
      <mc:Choice Requires="x14">
        <control shapeId="35868" r:id="rId34" name="OptionButton28">
          <controlPr defaultSize="0" autoLine="0" linkedCell="'C.Prestador'!O63" r:id="rId13">
            <anchor moveWithCells="1">
              <from>
                <xdr:col>13</xdr:col>
                <xdr:colOff>457200</xdr:colOff>
                <xdr:row>99</xdr:row>
                <xdr:rowOff>85725</xdr:rowOff>
              </from>
              <to>
                <xdr:col>13</xdr:col>
                <xdr:colOff>695325</xdr:colOff>
                <xdr:row>99</xdr:row>
                <xdr:rowOff>276225</xdr:rowOff>
              </to>
            </anchor>
          </controlPr>
        </control>
      </mc:Choice>
      <mc:Fallback>
        <control shapeId="35868" r:id="rId34" name="OptionButton28"/>
      </mc:Fallback>
    </mc:AlternateContent>
    <mc:AlternateContent xmlns:mc="http://schemas.openxmlformats.org/markup-compatibility/2006">
      <mc:Choice Requires="x14">
        <control shapeId="35869" r:id="rId35" name="OptionButton29">
          <controlPr defaultSize="0" autoLine="0" linkedCell="'C.Prestador'!M64" r:id="rId15">
            <anchor moveWithCells="1">
              <from>
                <xdr:col>10</xdr:col>
                <xdr:colOff>142875</xdr:colOff>
                <xdr:row>100</xdr:row>
                <xdr:rowOff>76200</xdr:rowOff>
              </from>
              <to>
                <xdr:col>10</xdr:col>
                <xdr:colOff>381000</xdr:colOff>
                <xdr:row>100</xdr:row>
                <xdr:rowOff>266700</xdr:rowOff>
              </to>
            </anchor>
          </controlPr>
        </control>
      </mc:Choice>
      <mc:Fallback>
        <control shapeId="35869" r:id="rId35" name="OptionButton29"/>
      </mc:Fallback>
    </mc:AlternateContent>
    <mc:AlternateContent xmlns:mc="http://schemas.openxmlformats.org/markup-compatibility/2006">
      <mc:Choice Requires="x14">
        <control shapeId="35870" r:id="rId36" name="OptionButton30">
          <controlPr defaultSize="0" autoLine="0" linkedCell="'C.Prestador'!N64" r:id="rId15">
            <anchor moveWithCells="1">
              <from>
                <xdr:col>12</xdr:col>
                <xdr:colOff>457200</xdr:colOff>
                <xdr:row>100</xdr:row>
                <xdr:rowOff>85725</xdr:rowOff>
              </from>
              <to>
                <xdr:col>12</xdr:col>
                <xdr:colOff>695325</xdr:colOff>
                <xdr:row>100</xdr:row>
                <xdr:rowOff>276225</xdr:rowOff>
              </to>
            </anchor>
          </controlPr>
        </control>
      </mc:Choice>
      <mc:Fallback>
        <control shapeId="35870" r:id="rId36" name="OptionButton30"/>
      </mc:Fallback>
    </mc:AlternateContent>
    <mc:AlternateContent xmlns:mc="http://schemas.openxmlformats.org/markup-compatibility/2006">
      <mc:Choice Requires="x14">
        <control shapeId="35871" r:id="rId37" name="OptionButton31">
          <controlPr defaultSize="0" autoLine="0" linkedCell="'C.Prestador'!O64" r:id="rId13">
            <anchor moveWithCells="1">
              <from>
                <xdr:col>13</xdr:col>
                <xdr:colOff>466725</xdr:colOff>
                <xdr:row>100</xdr:row>
                <xdr:rowOff>76200</xdr:rowOff>
              </from>
              <to>
                <xdr:col>13</xdr:col>
                <xdr:colOff>704850</xdr:colOff>
                <xdr:row>100</xdr:row>
                <xdr:rowOff>266700</xdr:rowOff>
              </to>
            </anchor>
          </controlPr>
        </control>
      </mc:Choice>
      <mc:Fallback>
        <control shapeId="35871" r:id="rId37" name="OptionButton31"/>
      </mc:Fallback>
    </mc:AlternateContent>
    <mc:AlternateContent xmlns:mc="http://schemas.openxmlformats.org/markup-compatibility/2006">
      <mc:Choice Requires="x14">
        <control shapeId="35872" r:id="rId38" name="OptionButton32">
          <controlPr defaultSize="0" autoLine="0" linkedCell="'C.Prestador'!M51" r:id="rId39">
            <anchor moveWithCells="1">
              <from>
                <xdr:col>12</xdr:col>
                <xdr:colOff>504825</xdr:colOff>
                <xdr:row>111</xdr:row>
                <xdr:rowOff>152400</xdr:rowOff>
              </from>
              <to>
                <xdr:col>12</xdr:col>
                <xdr:colOff>704850</xdr:colOff>
                <xdr:row>111</xdr:row>
                <xdr:rowOff>352425</xdr:rowOff>
              </to>
            </anchor>
          </controlPr>
        </control>
      </mc:Choice>
      <mc:Fallback>
        <control shapeId="35872" r:id="rId38" name="OptionButton32"/>
      </mc:Fallback>
    </mc:AlternateContent>
    <mc:AlternateContent xmlns:mc="http://schemas.openxmlformats.org/markup-compatibility/2006">
      <mc:Choice Requires="x14">
        <control shapeId="35873" r:id="rId40" name="OptionButton33">
          <controlPr defaultSize="0" autoLine="0" linkedCell="'C.Prestador'!N51" r:id="rId39">
            <anchor moveWithCells="1">
              <from>
                <xdr:col>13</xdr:col>
                <xdr:colOff>495300</xdr:colOff>
                <xdr:row>111</xdr:row>
                <xdr:rowOff>190500</xdr:rowOff>
              </from>
              <to>
                <xdr:col>13</xdr:col>
                <xdr:colOff>695325</xdr:colOff>
                <xdr:row>111</xdr:row>
                <xdr:rowOff>390525</xdr:rowOff>
              </to>
            </anchor>
          </controlPr>
        </control>
      </mc:Choice>
      <mc:Fallback>
        <control shapeId="35873" r:id="rId40" name="OptionButton33"/>
      </mc:Fallback>
    </mc:AlternateContent>
    <mc:AlternateContent xmlns:mc="http://schemas.openxmlformats.org/markup-compatibility/2006">
      <mc:Choice Requires="x14">
        <control shapeId="35874" r:id="rId41" name="OptionButton34">
          <controlPr defaultSize="0" autoLine="0" linkedCell="'C.Prestador'!O51" r:id="rId42">
            <anchor moveWithCells="1">
              <from>
                <xdr:col>14</xdr:col>
                <xdr:colOff>476250</xdr:colOff>
                <xdr:row>111</xdr:row>
                <xdr:rowOff>161925</xdr:rowOff>
              </from>
              <to>
                <xdr:col>14</xdr:col>
                <xdr:colOff>676275</xdr:colOff>
                <xdr:row>111</xdr:row>
                <xdr:rowOff>361950</xdr:rowOff>
              </to>
            </anchor>
          </controlPr>
        </control>
      </mc:Choice>
      <mc:Fallback>
        <control shapeId="35874" r:id="rId41" name="OptionButton34"/>
      </mc:Fallback>
    </mc:AlternateContent>
    <mc:AlternateContent xmlns:mc="http://schemas.openxmlformats.org/markup-compatibility/2006">
      <mc:Choice Requires="x14">
        <control shapeId="35875" r:id="rId43" name="OptionButton35">
          <controlPr defaultSize="0" autoLine="0" linkedCell="'C.Prestador'!M52" r:id="rId39">
            <anchor moveWithCells="1">
              <from>
                <xdr:col>12</xdr:col>
                <xdr:colOff>504825</xdr:colOff>
                <xdr:row>112</xdr:row>
                <xdr:rowOff>152400</xdr:rowOff>
              </from>
              <to>
                <xdr:col>12</xdr:col>
                <xdr:colOff>704850</xdr:colOff>
                <xdr:row>112</xdr:row>
                <xdr:rowOff>352425</xdr:rowOff>
              </to>
            </anchor>
          </controlPr>
        </control>
      </mc:Choice>
      <mc:Fallback>
        <control shapeId="35875" r:id="rId43" name="OptionButton35"/>
      </mc:Fallback>
    </mc:AlternateContent>
    <mc:AlternateContent xmlns:mc="http://schemas.openxmlformats.org/markup-compatibility/2006">
      <mc:Choice Requires="x14">
        <control shapeId="35876" r:id="rId44" name="OptionButton36">
          <controlPr defaultSize="0" autoLine="0" linkedCell="'C.Prestador'!N52" r:id="rId39">
            <anchor moveWithCells="1">
              <from>
                <xdr:col>13</xdr:col>
                <xdr:colOff>495300</xdr:colOff>
                <xdr:row>112</xdr:row>
                <xdr:rowOff>190500</xdr:rowOff>
              </from>
              <to>
                <xdr:col>13</xdr:col>
                <xdr:colOff>695325</xdr:colOff>
                <xdr:row>112</xdr:row>
                <xdr:rowOff>390525</xdr:rowOff>
              </to>
            </anchor>
          </controlPr>
        </control>
      </mc:Choice>
      <mc:Fallback>
        <control shapeId="35876" r:id="rId44" name="OptionButton36"/>
      </mc:Fallback>
    </mc:AlternateContent>
    <mc:AlternateContent xmlns:mc="http://schemas.openxmlformats.org/markup-compatibility/2006">
      <mc:Choice Requires="x14">
        <control shapeId="35877" r:id="rId45" name="OptionButton37">
          <controlPr defaultSize="0" autoLine="0" linkedCell="'C.Prestador'!O52" r:id="rId42">
            <anchor moveWithCells="1">
              <from>
                <xdr:col>14</xdr:col>
                <xdr:colOff>438150</xdr:colOff>
                <xdr:row>112</xdr:row>
                <xdr:rowOff>238125</xdr:rowOff>
              </from>
              <to>
                <xdr:col>14</xdr:col>
                <xdr:colOff>638175</xdr:colOff>
                <xdr:row>112</xdr:row>
                <xdr:rowOff>438150</xdr:rowOff>
              </to>
            </anchor>
          </controlPr>
        </control>
      </mc:Choice>
      <mc:Fallback>
        <control shapeId="35877" r:id="rId45" name="OptionButton37"/>
      </mc:Fallback>
    </mc:AlternateContent>
    <mc:AlternateContent xmlns:mc="http://schemas.openxmlformats.org/markup-compatibility/2006">
      <mc:Choice Requires="x14">
        <control shapeId="35878" r:id="rId46" name="OptionButton38">
          <controlPr defaultSize="0" autoLine="0" linkedCell="'C.Prestador'!M53" r:id="rId39">
            <anchor moveWithCells="1">
              <from>
                <xdr:col>12</xdr:col>
                <xdr:colOff>438150</xdr:colOff>
                <xdr:row>116</xdr:row>
                <xdr:rowOff>152400</xdr:rowOff>
              </from>
              <to>
                <xdr:col>12</xdr:col>
                <xdr:colOff>638175</xdr:colOff>
                <xdr:row>116</xdr:row>
                <xdr:rowOff>352425</xdr:rowOff>
              </to>
            </anchor>
          </controlPr>
        </control>
      </mc:Choice>
      <mc:Fallback>
        <control shapeId="35878" r:id="rId46" name="OptionButton38"/>
      </mc:Fallback>
    </mc:AlternateContent>
    <mc:AlternateContent xmlns:mc="http://schemas.openxmlformats.org/markup-compatibility/2006">
      <mc:Choice Requires="x14">
        <control shapeId="35879" r:id="rId47" name="OptionButton39">
          <controlPr defaultSize="0" autoLine="0" linkedCell="'C.Prestador'!N53" r:id="rId39">
            <anchor moveWithCells="1">
              <from>
                <xdr:col>13</xdr:col>
                <xdr:colOff>514350</xdr:colOff>
                <xdr:row>116</xdr:row>
                <xdr:rowOff>180975</xdr:rowOff>
              </from>
              <to>
                <xdr:col>13</xdr:col>
                <xdr:colOff>714375</xdr:colOff>
                <xdr:row>116</xdr:row>
                <xdr:rowOff>381000</xdr:rowOff>
              </to>
            </anchor>
          </controlPr>
        </control>
      </mc:Choice>
      <mc:Fallback>
        <control shapeId="35879" r:id="rId47" name="OptionButton39"/>
      </mc:Fallback>
    </mc:AlternateContent>
    <mc:AlternateContent xmlns:mc="http://schemas.openxmlformats.org/markup-compatibility/2006">
      <mc:Choice Requires="x14">
        <control shapeId="35880" r:id="rId48" name="OptionButton40">
          <controlPr defaultSize="0" autoLine="0" linkedCell="'C.Prestador'!O53" r:id="rId42">
            <anchor moveWithCells="1">
              <from>
                <xdr:col>14</xdr:col>
                <xdr:colOff>438150</xdr:colOff>
                <xdr:row>116</xdr:row>
                <xdr:rowOff>152400</xdr:rowOff>
              </from>
              <to>
                <xdr:col>14</xdr:col>
                <xdr:colOff>638175</xdr:colOff>
                <xdr:row>116</xdr:row>
                <xdr:rowOff>352425</xdr:rowOff>
              </to>
            </anchor>
          </controlPr>
        </control>
      </mc:Choice>
      <mc:Fallback>
        <control shapeId="35880" r:id="rId48" name="OptionButton40"/>
      </mc:Fallback>
    </mc:AlternateContent>
    <mc:AlternateContent xmlns:mc="http://schemas.openxmlformats.org/markup-compatibility/2006">
      <mc:Choice Requires="x14">
        <control shapeId="35881" r:id="rId49" name="OptionButton41">
          <controlPr defaultSize="0" autoLine="0" linkedCell="'C.Prestador'!M74" r:id="rId50">
            <anchor moveWithCells="1">
              <from>
                <xdr:col>12</xdr:col>
                <xdr:colOff>476250</xdr:colOff>
                <xdr:row>125</xdr:row>
                <xdr:rowOff>57150</xdr:rowOff>
              </from>
              <to>
                <xdr:col>12</xdr:col>
                <xdr:colOff>638175</xdr:colOff>
                <xdr:row>125</xdr:row>
                <xdr:rowOff>180975</xdr:rowOff>
              </to>
            </anchor>
          </controlPr>
        </control>
      </mc:Choice>
      <mc:Fallback>
        <control shapeId="35881" r:id="rId49" name="OptionButton41"/>
      </mc:Fallback>
    </mc:AlternateContent>
    <mc:AlternateContent xmlns:mc="http://schemas.openxmlformats.org/markup-compatibility/2006">
      <mc:Choice Requires="x14">
        <control shapeId="35882" r:id="rId51" name="OptionButton42">
          <controlPr defaultSize="0" autoLine="0" linkedCell="'C.Prestador'!N74" r:id="rId52">
            <anchor moveWithCells="1">
              <from>
                <xdr:col>13</xdr:col>
                <xdr:colOff>476250</xdr:colOff>
                <xdr:row>125</xdr:row>
                <xdr:rowOff>57150</xdr:rowOff>
              </from>
              <to>
                <xdr:col>13</xdr:col>
                <xdr:colOff>638175</xdr:colOff>
                <xdr:row>125</xdr:row>
                <xdr:rowOff>180975</xdr:rowOff>
              </to>
            </anchor>
          </controlPr>
        </control>
      </mc:Choice>
      <mc:Fallback>
        <control shapeId="35882" r:id="rId51" name="OptionButton42"/>
      </mc:Fallback>
    </mc:AlternateContent>
    <mc:AlternateContent xmlns:mc="http://schemas.openxmlformats.org/markup-compatibility/2006">
      <mc:Choice Requires="x14">
        <control shapeId="35883" r:id="rId53" name="OptionButton43">
          <controlPr defaultSize="0" autoLine="0" linkedCell="'C.Prestador'!O74" r:id="rId54">
            <anchor moveWithCells="1">
              <from>
                <xdr:col>14</xdr:col>
                <xdr:colOff>476250</xdr:colOff>
                <xdr:row>125</xdr:row>
                <xdr:rowOff>57150</xdr:rowOff>
              </from>
              <to>
                <xdr:col>14</xdr:col>
                <xdr:colOff>638175</xdr:colOff>
                <xdr:row>125</xdr:row>
                <xdr:rowOff>180975</xdr:rowOff>
              </to>
            </anchor>
          </controlPr>
        </control>
      </mc:Choice>
      <mc:Fallback>
        <control shapeId="35883" r:id="rId53" name="OptionButton43"/>
      </mc:Fallback>
    </mc:AlternateContent>
    <mc:AlternateContent xmlns:mc="http://schemas.openxmlformats.org/markup-compatibility/2006">
      <mc:Choice Requires="x14">
        <control shapeId="35884" r:id="rId55" name="OptionButton44">
          <controlPr defaultSize="0" autoLine="0" linkedCell="'C.Prestador'!M75" r:id="rId56">
            <anchor moveWithCells="1">
              <from>
                <xdr:col>12</xdr:col>
                <xdr:colOff>476250</xdr:colOff>
                <xdr:row>126</xdr:row>
                <xdr:rowOff>57150</xdr:rowOff>
              </from>
              <to>
                <xdr:col>12</xdr:col>
                <xdr:colOff>638175</xdr:colOff>
                <xdr:row>126</xdr:row>
                <xdr:rowOff>180975</xdr:rowOff>
              </to>
            </anchor>
          </controlPr>
        </control>
      </mc:Choice>
      <mc:Fallback>
        <control shapeId="35884" r:id="rId55" name="OptionButton44"/>
      </mc:Fallback>
    </mc:AlternateContent>
    <mc:AlternateContent xmlns:mc="http://schemas.openxmlformats.org/markup-compatibility/2006">
      <mc:Choice Requires="x14">
        <control shapeId="35885" r:id="rId57" name="OptionButton45">
          <controlPr defaultSize="0" autoLine="0" linkedCell="'C.Prestador'!N75" r:id="rId58">
            <anchor moveWithCells="1">
              <from>
                <xdr:col>13</xdr:col>
                <xdr:colOff>476250</xdr:colOff>
                <xdr:row>126</xdr:row>
                <xdr:rowOff>57150</xdr:rowOff>
              </from>
              <to>
                <xdr:col>13</xdr:col>
                <xdr:colOff>638175</xdr:colOff>
                <xdr:row>126</xdr:row>
                <xdr:rowOff>180975</xdr:rowOff>
              </to>
            </anchor>
          </controlPr>
        </control>
      </mc:Choice>
      <mc:Fallback>
        <control shapeId="35885" r:id="rId57" name="OptionButton45"/>
      </mc:Fallback>
    </mc:AlternateContent>
    <mc:AlternateContent xmlns:mc="http://schemas.openxmlformats.org/markup-compatibility/2006">
      <mc:Choice Requires="x14">
        <control shapeId="35886" r:id="rId59" name="OptionButton46">
          <controlPr defaultSize="0" autoLine="0" linkedCell="'C.Prestador'!O75" r:id="rId60">
            <anchor moveWithCells="1">
              <from>
                <xdr:col>14</xdr:col>
                <xdr:colOff>476250</xdr:colOff>
                <xdr:row>126</xdr:row>
                <xdr:rowOff>57150</xdr:rowOff>
              </from>
              <to>
                <xdr:col>14</xdr:col>
                <xdr:colOff>638175</xdr:colOff>
                <xdr:row>126</xdr:row>
                <xdr:rowOff>180975</xdr:rowOff>
              </to>
            </anchor>
          </controlPr>
        </control>
      </mc:Choice>
      <mc:Fallback>
        <control shapeId="35886" r:id="rId59" name="OptionButton46"/>
      </mc:Fallback>
    </mc:AlternateContent>
    <mc:AlternateContent xmlns:mc="http://schemas.openxmlformats.org/markup-compatibility/2006">
      <mc:Choice Requires="x14">
        <control shapeId="35887" r:id="rId61" name="OptionButton47">
          <controlPr defaultSize="0" autoLine="0" linkedCell="'C.Prestador'!M76" r:id="rId62">
            <anchor moveWithCells="1">
              <from>
                <xdr:col>12</xdr:col>
                <xdr:colOff>476250</xdr:colOff>
                <xdr:row>127</xdr:row>
                <xdr:rowOff>57150</xdr:rowOff>
              </from>
              <to>
                <xdr:col>12</xdr:col>
                <xdr:colOff>638175</xdr:colOff>
                <xdr:row>127</xdr:row>
                <xdr:rowOff>180975</xdr:rowOff>
              </to>
            </anchor>
          </controlPr>
        </control>
      </mc:Choice>
      <mc:Fallback>
        <control shapeId="35887" r:id="rId61" name="OptionButton47"/>
      </mc:Fallback>
    </mc:AlternateContent>
    <mc:AlternateContent xmlns:mc="http://schemas.openxmlformats.org/markup-compatibility/2006">
      <mc:Choice Requires="x14">
        <control shapeId="35888" r:id="rId63" name="OptionButton48">
          <controlPr defaultSize="0" autoLine="0" linkedCell="'C.Prestador'!N76" r:id="rId64">
            <anchor moveWithCells="1">
              <from>
                <xdr:col>13</xdr:col>
                <xdr:colOff>476250</xdr:colOff>
                <xdr:row>127</xdr:row>
                <xdr:rowOff>57150</xdr:rowOff>
              </from>
              <to>
                <xdr:col>13</xdr:col>
                <xdr:colOff>638175</xdr:colOff>
                <xdr:row>127</xdr:row>
                <xdr:rowOff>180975</xdr:rowOff>
              </to>
            </anchor>
          </controlPr>
        </control>
      </mc:Choice>
      <mc:Fallback>
        <control shapeId="35888" r:id="rId63" name="OptionButton48"/>
      </mc:Fallback>
    </mc:AlternateContent>
    <mc:AlternateContent xmlns:mc="http://schemas.openxmlformats.org/markup-compatibility/2006">
      <mc:Choice Requires="x14">
        <control shapeId="35889" r:id="rId65" name="OptionButton49">
          <controlPr defaultSize="0" autoLine="0" linkedCell="'C.Prestador'!O76" r:id="rId66">
            <anchor moveWithCells="1">
              <from>
                <xdr:col>14</xdr:col>
                <xdr:colOff>476250</xdr:colOff>
                <xdr:row>127</xdr:row>
                <xdr:rowOff>57150</xdr:rowOff>
              </from>
              <to>
                <xdr:col>14</xdr:col>
                <xdr:colOff>638175</xdr:colOff>
                <xdr:row>127</xdr:row>
                <xdr:rowOff>180975</xdr:rowOff>
              </to>
            </anchor>
          </controlPr>
        </control>
      </mc:Choice>
      <mc:Fallback>
        <control shapeId="35889" r:id="rId65" name="OptionButton49"/>
      </mc:Fallback>
    </mc:AlternateContent>
    <mc:AlternateContent xmlns:mc="http://schemas.openxmlformats.org/markup-compatibility/2006">
      <mc:Choice Requires="x14">
        <control shapeId="35890" r:id="rId67" name="OptionButton50">
          <controlPr defaultSize="0" autoLine="0" linkedCell="'C.Prestador'!M77" r:id="rId68">
            <anchor moveWithCells="1">
              <from>
                <xdr:col>12</xdr:col>
                <xdr:colOff>476250</xdr:colOff>
                <xdr:row>128</xdr:row>
                <xdr:rowOff>57150</xdr:rowOff>
              </from>
              <to>
                <xdr:col>12</xdr:col>
                <xdr:colOff>638175</xdr:colOff>
                <xdr:row>128</xdr:row>
                <xdr:rowOff>180975</xdr:rowOff>
              </to>
            </anchor>
          </controlPr>
        </control>
      </mc:Choice>
      <mc:Fallback>
        <control shapeId="35890" r:id="rId67" name="OptionButton50"/>
      </mc:Fallback>
    </mc:AlternateContent>
    <mc:AlternateContent xmlns:mc="http://schemas.openxmlformats.org/markup-compatibility/2006">
      <mc:Choice Requires="x14">
        <control shapeId="35891" r:id="rId69" name="OptionButton51">
          <controlPr defaultSize="0" autoLine="0" linkedCell="'C.Prestador'!N77" r:id="rId70">
            <anchor moveWithCells="1">
              <from>
                <xdr:col>13</xdr:col>
                <xdr:colOff>476250</xdr:colOff>
                <xdr:row>128</xdr:row>
                <xdr:rowOff>57150</xdr:rowOff>
              </from>
              <to>
                <xdr:col>13</xdr:col>
                <xdr:colOff>638175</xdr:colOff>
                <xdr:row>128</xdr:row>
                <xdr:rowOff>180975</xdr:rowOff>
              </to>
            </anchor>
          </controlPr>
        </control>
      </mc:Choice>
      <mc:Fallback>
        <control shapeId="35891" r:id="rId69" name="OptionButton51"/>
      </mc:Fallback>
    </mc:AlternateContent>
    <mc:AlternateContent xmlns:mc="http://schemas.openxmlformats.org/markup-compatibility/2006">
      <mc:Choice Requires="x14">
        <control shapeId="35892" r:id="rId71" name="OptionButton52">
          <controlPr defaultSize="0" autoLine="0" linkedCell="'C.Prestador'!O77" r:id="rId72">
            <anchor moveWithCells="1">
              <from>
                <xdr:col>14</xdr:col>
                <xdr:colOff>476250</xdr:colOff>
                <xdr:row>128</xdr:row>
                <xdr:rowOff>57150</xdr:rowOff>
              </from>
              <to>
                <xdr:col>14</xdr:col>
                <xdr:colOff>638175</xdr:colOff>
                <xdr:row>128</xdr:row>
                <xdr:rowOff>180975</xdr:rowOff>
              </to>
            </anchor>
          </controlPr>
        </control>
      </mc:Choice>
      <mc:Fallback>
        <control shapeId="35892" r:id="rId71" name="OptionButton52"/>
      </mc:Fallback>
    </mc:AlternateContent>
    <mc:AlternateContent xmlns:mc="http://schemas.openxmlformats.org/markup-compatibility/2006">
      <mc:Choice Requires="x14">
        <control shapeId="35893" r:id="rId73" name="OptionButton53">
          <controlPr defaultSize="0" autoLine="0" linkedCell="'C.Prestador'!M140" r:id="rId74">
            <anchor moveWithCells="1">
              <from>
                <xdr:col>10</xdr:col>
                <xdr:colOff>180975</xdr:colOff>
                <xdr:row>179</xdr:row>
                <xdr:rowOff>57150</xdr:rowOff>
              </from>
              <to>
                <xdr:col>10</xdr:col>
                <xdr:colOff>342900</xdr:colOff>
                <xdr:row>179</xdr:row>
                <xdr:rowOff>200025</xdr:rowOff>
              </to>
            </anchor>
          </controlPr>
        </control>
      </mc:Choice>
      <mc:Fallback>
        <control shapeId="35893" r:id="rId73" name="OptionButton53"/>
      </mc:Fallback>
    </mc:AlternateContent>
    <mc:AlternateContent xmlns:mc="http://schemas.openxmlformats.org/markup-compatibility/2006">
      <mc:Choice Requires="x14">
        <control shapeId="35894" r:id="rId75" name="OptionButton54">
          <controlPr defaultSize="0" autoLine="0" linkedCell="'C.Prestador'!N140" r:id="rId76">
            <anchor moveWithCells="1">
              <from>
                <xdr:col>12</xdr:col>
                <xdr:colOff>523875</xdr:colOff>
                <xdr:row>179</xdr:row>
                <xdr:rowOff>57150</xdr:rowOff>
              </from>
              <to>
                <xdr:col>12</xdr:col>
                <xdr:colOff>685800</xdr:colOff>
                <xdr:row>179</xdr:row>
                <xdr:rowOff>200025</xdr:rowOff>
              </to>
            </anchor>
          </controlPr>
        </control>
      </mc:Choice>
      <mc:Fallback>
        <control shapeId="35894" r:id="rId75" name="OptionButton54"/>
      </mc:Fallback>
    </mc:AlternateContent>
    <mc:AlternateContent xmlns:mc="http://schemas.openxmlformats.org/markup-compatibility/2006">
      <mc:Choice Requires="x14">
        <control shapeId="35895" r:id="rId77" name="OptionButton55">
          <controlPr defaultSize="0" autoLine="0" linkedCell="'C.Prestador'!O140" r:id="rId78">
            <anchor moveWithCells="1">
              <from>
                <xdr:col>13</xdr:col>
                <xdr:colOff>495300</xdr:colOff>
                <xdr:row>179</xdr:row>
                <xdr:rowOff>47625</xdr:rowOff>
              </from>
              <to>
                <xdr:col>13</xdr:col>
                <xdr:colOff>657225</xdr:colOff>
                <xdr:row>179</xdr:row>
                <xdr:rowOff>190500</xdr:rowOff>
              </to>
            </anchor>
          </controlPr>
        </control>
      </mc:Choice>
      <mc:Fallback>
        <control shapeId="35895" r:id="rId77" name="OptionButton55"/>
      </mc:Fallback>
    </mc:AlternateContent>
    <mc:AlternateContent xmlns:mc="http://schemas.openxmlformats.org/markup-compatibility/2006">
      <mc:Choice Requires="x14">
        <control shapeId="35896" r:id="rId79" name="OptionButton56">
          <controlPr defaultSize="0" autoLine="0" linkedCell="'C.Prestador'!M141" r:id="rId80">
            <anchor moveWithCells="1">
              <from>
                <xdr:col>10</xdr:col>
                <xdr:colOff>180975</xdr:colOff>
                <xdr:row>180</xdr:row>
                <xdr:rowOff>57150</xdr:rowOff>
              </from>
              <to>
                <xdr:col>10</xdr:col>
                <xdr:colOff>342900</xdr:colOff>
                <xdr:row>180</xdr:row>
                <xdr:rowOff>200025</xdr:rowOff>
              </to>
            </anchor>
          </controlPr>
        </control>
      </mc:Choice>
      <mc:Fallback>
        <control shapeId="35896" r:id="rId79" name="OptionButton56"/>
      </mc:Fallback>
    </mc:AlternateContent>
    <mc:AlternateContent xmlns:mc="http://schemas.openxmlformats.org/markup-compatibility/2006">
      <mc:Choice Requires="x14">
        <control shapeId="35897" r:id="rId81" name="OptionButton57">
          <controlPr defaultSize="0" autoLine="0" linkedCell="'C.Prestador'!N141" r:id="rId82">
            <anchor moveWithCells="1">
              <from>
                <xdr:col>12</xdr:col>
                <xdr:colOff>523875</xdr:colOff>
                <xdr:row>180</xdr:row>
                <xdr:rowOff>38100</xdr:rowOff>
              </from>
              <to>
                <xdr:col>12</xdr:col>
                <xdr:colOff>685800</xdr:colOff>
                <xdr:row>180</xdr:row>
                <xdr:rowOff>180975</xdr:rowOff>
              </to>
            </anchor>
          </controlPr>
        </control>
      </mc:Choice>
      <mc:Fallback>
        <control shapeId="35897" r:id="rId81" name="OptionButton57"/>
      </mc:Fallback>
    </mc:AlternateContent>
    <mc:AlternateContent xmlns:mc="http://schemas.openxmlformats.org/markup-compatibility/2006">
      <mc:Choice Requires="x14">
        <control shapeId="35898" r:id="rId83" name="OptionButton58">
          <controlPr defaultSize="0" autoLine="0" linkedCell="'C.Prestador'!O141" r:id="rId84">
            <anchor moveWithCells="1">
              <from>
                <xdr:col>13</xdr:col>
                <xdr:colOff>504825</xdr:colOff>
                <xdr:row>180</xdr:row>
                <xdr:rowOff>47625</xdr:rowOff>
              </from>
              <to>
                <xdr:col>13</xdr:col>
                <xdr:colOff>666750</xdr:colOff>
                <xdr:row>180</xdr:row>
                <xdr:rowOff>190500</xdr:rowOff>
              </to>
            </anchor>
          </controlPr>
        </control>
      </mc:Choice>
      <mc:Fallback>
        <control shapeId="35898" r:id="rId83" name="OptionButton58"/>
      </mc:Fallback>
    </mc:AlternateContent>
    <mc:AlternateContent xmlns:mc="http://schemas.openxmlformats.org/markup-compatibility/2006">
      <mc:Choice Requires="x14">
        <control shapeId="35899" r:id="rId85" name="OptionButton59">
          <controlPr defaultSize="0" autoLine="0" linkedCell="'C.Prestador'!M142" r:id="rId86">
            <anchor moveWithCells="1">
              <from>
                <xdr:col>10</xdr:col>
                <xdr:colOff>171450</xdr:colOff>
                <xdr:row>181</xdr:row>
                <xdr:rowOff>57150</xdr:rowOff>
              </from>
              <to>
                <xdr:col>10</xdr:col>
                <xdr:colOff>333375</xdr:colOff>
                <xdr:row>181</xdr:row>
                <xdr:rowOff>200025</xdr:rowOff>
              </to>
            </anchor>
          </controlPr>
        </control>
      </mc:Choice>
      <mc:Fallback>
        <control shapeId="35899" r:id="rId85" name="OptionButton59"/>
      </mc:Fallback>
    </mc:AlternateContent>
    <mc:AlternateContent xmlns:mc="http://schemas.openxmlformats.org/markup-compatibility/2006">
      <mc:Choice Requires="x14">
        <control shapeId="35900" r:id="rId87" name="OptionButton60">
          <controlPr defaultSize="0" autoLine="0" linkedCell="'C.Prestador'!N142" r:id="rId88">
            <anchor moveWithCells="1">
              <from>
                <xdr:col>12</xdr:col>
                <xdr:colOff>533400</xdr:colOff>
                <xdr:row>181</xdr:row>
                <xdr:rowOff>47625</xdr:rowOff>
              </from>
              <to>
                <xdr:col>12</xdr:col>
                <xdr:colOff>695325</xdr:colOff>
                <xdr:row>181</xdr:row>
                <xdr:rowOff>190500</xdr:rowOff>
              </to>
            </anchor>
          </controlPr>
        </control>
      </mc:Choice>
      <mc:Fallback>
        <control shapeId="35900" r:id="rId87" name="OptionButton60"/>
      </mc:Fallback>
    </mc:AlternateContent>
    <mc:AlternateContent xmlns:mc="http://schemas.openxmlformats.org/markup-compatibility/2006">
      <mc:Choice Requires="x14">
        <control shapeId="35901" r:id="rId89" name="OptionButton61">
          <controlPr defaultSize="0" autoLine="0" linkedCell="'C.Prestador'!O142" r:id="rId90">
            <anchor moveWithCells="1">
              <from>
                <xdr:col>13</xdr:col>
                <xdr:colOff>495300</xdr:colOff>
                <xdr:row>181</xdr:row>
                <xdr:rowOff>47625</xdr:rowOff>
              </from>
              <to>
                <xdr:col>13</xdr:col>
                <xdr:colOff>657225</xdr:colOff>
                <xdr:row>181</xdr:row>
                <xdr:rowOff>190500</xdr:rowOff>
              </to>
            </anchor>
          </controlPr>
        </control>
      </mc:Choice>
      <mc:Fallback>
        <control shapeId="35901" r:id="rId89" name="OptionButton61"/>
      </mc:Fallback>
    </mc:AlternateContent>
    <mc:AlternateContent xmlns:mc="http://schemas.openxmlformats.org/markup-compatibility/2006">
      <mc:Choice Requires="x14">
        <control shapeId="35902" r:id="rId91" name="OptionButton62">
          <controlPr defaultSize="0" autoLine="0" linkedCell="'C.Prestador'!M100" r:id="rId92">
            <anchor moveWithCells="1">
              <from>
                <xdr:col>13</xdr:col>
                <xdr:colOff>457200</xdr:colOff>
                <xdr:row>192</xdr:row>
                <xdr:rowOff>57150</xdr:rowOff>
              </from>
              <to>
                <xdr:col>13</xdr:col>
                <xdr:colOff>647700</xdr:colOff>
                <xdr:row>192</xdr:row>
                <xdr:rowOff>219075</xdr:rowOff>
              </to>
            </anchor>
          </controlPr>
        </control>
      </mc:Choice>
      <mc:Fallback>
        <control shapeId="35902" r:id="rId91" name="OptionButton62"/>
      </mc:Fallback>
    </mc:AlternateContent>
    <mc:AlternateContent xmlns:mc="http://schemas.openxmlformats.org/markup-compatibility/2006">
      <mc:Choice Requires="x14">
        <control shapeId="35903" r:id="rId93" name="OptionButton63">
          <controlPr defaultSize="0" autoLine="0" linkedCell="'C.Prestador'!N100" r:id="rId94">
            <anchor moveWithCells="1">
              <from>
                <xdr:col>14</xdr:col>
                <xdr:colOff>457200</xdr:colOff>
                <xdr:row>192</xdr:row>
                <xdr:rowOff>57150</xdr:rowOff>
              </from>
              <to>
                <xdr:col>14</xdr:col>
                <xdr:colOff>647700</xdr:colOff>
                <xdr:row>192</xdr:row>
                <xdr:rowOff>219075</xdr:rowOff>
              </to>
            </anchor>
          </controlPr>
        </control>
      </mc:Choice>
      <mc:Fallback>
        <control shapeId="35903" r:id="rId93" name="OptionButton63"/>
      </mc:Fallback>
    </mc:AlternateContent>
    <mc:AlternateContent xmlns:mc="http://schemas.openxmlformats.org/markup-compatibility/2006">
      <mc:Choice Requires="x14">
        <control shapeId="35904" r:id="rId95" name="OptionButton64">
          <controlPr defaultSize="0" autoLine="0" linkedCell="'C.Prestador'!O100" r:id="rId96">
            <anchor moveWithCells="1">
              <from>
                <xdr:col>15</xdr:col>
                <xdr:colOff>457200</xdr:colOff>
                <xdr:row>192</xdr:row>
                <xdr:rowOff>57150</xdr:rowOff>
              </from>
              <to>
                <xdr:col>15</xdr:col>
                <xdr:colOff>647700</xdr:colOff>
                <xdr:row>192</xdr:row>
                <xdr:rowOff>219075</xdr:rowOff>
              </to>
            </anchor>
          </controlPr>
        </control>
      </mc:Choice>
      <mc:Fallback>
        <control shapeId="35904" r:id="rId95" name="OptionButton64"/>
      </mc:Fallback>
    </mc:AlternateContent>
    <mc:AlternateContent xmlns:mc="http://schemas.openxmlformats.org/markup-compatibility/2006">
      <mc:Choice Requires="x14">
        <control shapeId="35905" r:id="rId97" name="OptionButton68">
          <controlPr defaultSize="0" autoLine="0" linkedCell="'C.Prestador'!M102" r:id="rId98">
            <anchor moveWithCells="1">
              <from>
                <xdr:col>13</xdr:col>
                <xdr:colOff>457200</xdr:colOff>
                <xdr:row>194</xdr:row>
                <xdr:rowOff>57150</xdr:rowOff>
              </from>
              <to>
                <xdr:col>13</xdr:col>
                <xdr:colOff>647700</xdr:colOff>
                <xdr:row>194</xdr:row>
                <xdr:rowOff>219075</xdr:rowOff>
              </to>
            </anchor>
          </controlPr>
        </control>
      </mc:Choice>
      <mc:Fallback>
        <control shapeId="35905" r:id="rId97" name="OptionButton68"/>
      </mc:Fallback>
    </mc:AlternateContent>
    <mc:AlternateContent xmlns:mc="http://schemas.openxmlformats.org/markup-compatibility/2006">
      <mc:Choice Requires="x14">
        <control shapeId="35906" r:id="rId99" name="OptionButton69">
          <controlPr defaultSize="0" autoLine="0" linkedCell="'C.Prestador'!N102" r:id="rId100">
            <anchor moveWithCells="1">
              <from>
                <xdr:col>14</xdr:col>
                <xdr:colOff>457200</xdr:colOff>
                <xdr:row>194</xdr:row>
                <xdr:rowOff>57150</xdr:rowOff>
              </from>
              <to>
                <xdr:col>14</xdr:col>
                <xdr:colOff>647700</xdr:colOff>
                <xdr:row>194</xdr:row>
                <xdr:rowOff>219075</xdr:rowOff>
              </to>
            </anchor>
          </controlPr>
        </control>
      </mc:Choice>
      <mc:Fallback>
        <control shapeId="35906" r:id="rId99" name="OptionButton69"/>
      </mc:Fallback>
    </mc:AlternateContent>
    <mc:AlternateContent xmlns:mc="http://schemas.openxmlformats.org/markup-compatibility/2006">
      <mc:Choice Requires="x14">
        <control shapeId="35907" r:id="rId101" name="OptionButton70">
          <controlPr defaultSize="0" autoLine="0" linkedCell="'C.Prestador'!O102" r:id="rId102">
            <anchor moveWithCells="1">
              <from>
                <xdr:col>15</xdr:col>
                <xdr:colOff>457200</xdr:colOff>
                <xdr:row>194</xdr:row>
                <xdr:rowOff>57150</xdr:rowOff>
              </from>
              <to>
                <xdr:col>15</xdr:col>
                <xdr:colOff>647700</xdr:colOff>
                <xdr:row>194</xdr:row>
                <xdr:rowOff>219075</xdr:rowOff>
              </to>
            </anchor>
          </controlPr>
        </control>
      </mc:Choice>
      <mc:Fallback>
        <control shapeId="35907" r:id="rId101" name="OptionButton70"/>
      </mc:Fallback>
    </mc:AlternateContent>
    <mc:AlternateContent xmlns:mc="http://schemas.openxmlformats.org/markup-compatibility/2006">
      <mc:Choice Requires="x14">
        <control shapeId="35908" r:id="rId103" name="OptionButton71">
          <controlPr defaultSize="0" autoLine="0" linkedCell="'C.Prestador'!M103" r:id="rId104">
            <anchor moveWithCells="1">
              <from>
                <xdr:col>13</xdr:col>
                <xdr:colOff>457200</xdr:colOff>
                <xdr:row>195</xdr:row>
                <xdr:rowOff>47625</xdr:rowOff>
              </from>
              <to>
                <xdr:col>13</xdr:col>
                <xdr:colOff>647700</xdr:colOff>
                <xdr:row>195</xdr:row>
                <xdr:rowOff>209550</xdr:rowOff>
              </to>
            </anchor>
          </controlPr>
        </control>
      </mc:Choice>
      <mc:Fallback>
        <control shapeId="35908" r:id="rId103" name="OptionButton71"/>
      </mc:Fallback>
    </mc:AlternateContent>
    <mc:AlternateContent xmlns:mc="http://schemas.openxmlformats.org/markup-compatibility/2006">
      <mc:Choice Requires="x14">
        <control shapeId="35909" r:id="rId105" name="OptionButton77">
          <controlPr defaultSize="0" autoLine="0" linkedCell="'C.Prestador'!M105" r:id="rId106">
            <anchor moveWithCells="1">
              <from>
                <xdr:col>13</xdr:col>
                <xdr:colOff>457200</xdr:colOff>
                <xdr:row>197</xdr:row>
                <xdr:rowOff>85725</xdr:rowOff>
              </from>
              <to>
                <xdr:col>13</xdr:col>
                <xdr:colOff>647700</xdr:colOff>
                <xdr:row>197</xdr:row>
                <xdr:rowOff>247650</xdr:rowOff>
              </to>
            </anchor>
          </controlPr>
        </control>
      </mc:Choice>
      <mc:Fallback>
        <control shapeId="35909" r:id="rId105" name="OptionButton77"/>
      </mc:Fallback>
    </mc:AlternateContent>
    <mc:AlternateContent xmlns:mc="http://schemas.openxmlformats.org/markup-compatibility/2006">
      <mc:Choice Requires="x14">
        <control shapeId="35910" r:id="rId107" name="OptionButton78">
          <controlPr defaultSize="0" autoLine="0" linkedCell="'C.Prestador'!N105" r:id="rId108">
            <anchor moveWithCells="1">
              <from>
                <xdr:col>14</xdr:col>
                <xdr:colOff>457200</xdr:colOff>
                <xdr:row>197</xdr:row>
                <xdr:rowOff>85725</xdr:rowOff>
              </from>
              <to>
                <xdr:col>14</xdr:col>
                <xdr:colOff>647700</xdr:colOff>
                <xdr:row>197</xdr:row>
                <xdr:rowOff>247650</xdr:rowOff>
              </to>
            </anchor>
          </controlPr>
        </control>
      </mc:Choice>
      <mc:Fallback>
        <control shapeId="35910" r:id="rId107" name="OptionButton78"/>
      </mc:Fallback>
    </mc:AlternateContent>
    <mc:AlternateContent xmlns:mc="http://schemas.openxmlformats.org/markup-compatibility/2006">
      <mc:Choice Requires="x14">
        <control shapeId="35911" r:id="rId109" name="OptionButton79">
          <controlPr defaultSize="0" autoLine="0" linkedCell="'C.Prestador'!O105" r:id="rId110">
            <anchor moveWithCells="1">
              <from>
                <xdr:col>15</xdr:col>
                <xdr:colOff>457200</xdr:colOff>
                <xdr:row>197</xdr:row>
                <xdr:rowOff>85725</xdr:rowOff>
              </from>
              <to>
                <xdr:col>15</xdr:col>
                <xdr:colOff>647700</xdr:colOff>
                <xdr:row>197</xdr:row>
                <xdr:rowOff>247650</xdr:rowOff>
              </to>
            </anchor>
          </controlPr>
        </control>
      </mc:Choice>
      <mc:Fallback>
        <control shapeId="35911" r:id="rId109" name="OptionButton79"/>
      </mc:Fallback>
    </mc:AlternateContent>
    <mc:AlternateContent xmlns:mc="http://schemas.openxmlformats.org/markup-compatibility/2006">
      <mc:Choice Requires="x14">
        <control shapeId="35912" r:id="rId111" name="OptionButton80">
          <controlPr defaultSize="0" autoLine="0" linkedCell="'C.Prestador'!M106" r:id="rId112">
            <anchor moveWithCells="1">
              <from>
                <xdr:col>13</xdr:col>
                <xdr:colOff>457200</xdr:colOff>
                <xdr:row>198</xdr:row>
                <xdr:rowOff>85725</xdr:rowOff>
              </from>
              <to>
                <xdr:col>13</xdr:col>
                <xdr:colOff>647700</xdr:colOff>
                <xdr:row>198</xdr:row>
                <xdr:rowOff>247650</xdr:rowOff>
              </to>
            </anchor>
          </controlPr>
        </control>
      </mc:Choice>
      <mc:Fallback>
        <control shapeId="35912" r:id="rId111" name="OptionButton80"/>
      </mc:Fallback>
    </mc:AlternateContent>
    <mc:AlternateContent xmlns:mc="http://schemas.openxmlformats.org/markup-compatibility/2006">
      <mc:Choice Requires="x14">
        <control shapeId="35913" r:id="rId113" name="OptionButton81">
          <controlPr defaultSize="0" autoLine="0" linkedCell="'C.Prestador'!N106" r:id="rId114">
            <anchor moveWithCells="1">
              <from>
                <xdr:col>14</xdr:col>
                <xdr:colOff>457200</xdr:colOff>
                <xdr:row>198</xdr:row>
                <xdr:rowOff>85725</xdr:rowOff>
              </from>
              <to>
                <xdr:col>14</xdr:col>
                <xdr:colOff>647700</xdr:colOff>
                <xdr:row>198</xdr:row>
                <xdr:rowOff>247650</xdr:rowOff>
              </to>
            </anchor>
          </controlPr>
        </control>
      </mc:Choice>
      <mc:Fallback>
        <control shapeId="35913" r:id="rId113" name="OptionButton81"/>
      </mc:Fallback>
    </mc:AlternateContent>
    <mc:AlternateContent xmlns:mc="http://schemas.openxmlformats.org/markup-compatibility/2006">
      <mc:Choice Requires="x14">
        <control shapeId="35914" r:id="rId115" name="OptionButton82">
          <controlPr defaultSize="0" autoLine="0" linkedCell="'C.Prestador'!O106" r:id="rId116">
            <anchor moveWithCells="1">
              <from>
                <xdr:col>15</xdr:col>
                <xdr:colOff>457200</xdr:colOff>
                <xdr:row>198</xdr:row>
                <xdr:rowOff>85725</xdr:rowOff>
              </from>
              <to>
                <xdr:col>15</xdr:col>
                <xdr:colOff>647700</xdr:colOff>
                <xdr:row>198</xdr:row>
                <xdr:rowOff>247650</xdr:rowOff>
              </to>
            </anchor>
          </controlPr>
        </control>
      </mc:Choice>
      <mc:Fallback>
        <control shapeId="35914" r:id="rId115" name="OptionButton82"/>
      </mc:Fallback>
    </mc:AlternateContent>
    <mc:AlternateContent xmlns:mc="http://schemas.openxmlformats.org/markup-compatibility/2006">
      <mc:Choice Requires="x14">
        <control shapeId="35915" r:id="rId117" name="OptionButton83">
          <controlPr defaultSize="0" autoLine="0" linkedCell="'C.Prestador'!M107" r:id="rId118">
            <anchor moveWithCells="1">
              <from>
                <xdr:col>13</xdr:col>
                <xdr:colOff>457200</xdr:colOff>
                <xdr:row>199</xdr:row>
                <xdr:rowOff>85725</xdr:rowOff>
              </from>
              <to>
                <xdr:col>13</xdr:col>
                <xdr:colOff>647700</xdr:colOff>
                <xdr:row>199</xdr:row>
                <xdr:rowOff>247650</xdr:rowOff>
              </to>
            </anchor>
          </controlPr>
        </control>
      </mc:Choice>
      <mc:Fallback>
        <control shapeId="35915" r:id="rId117" name="OptionButton83"/>
      </mc:Fallback>
    </mc:AlternateContent>
    <mc:AlternateContent xmlns:mc="http://schemas.openxmlformats.org/markup-compatibility/2006">
      <mc:Choice Requires="x14">
        <control shapeId="35916" r:id="rId119" name="OptionButton84">
          <controlPr defaultSize="0" autoLine="0" linkedCell="'C.Prestador'!N107" r:id="rId120">
            <anchor moveWithCells="1">
              <from>
                <xdr:col>14</xdr:col>
                <xdr:colOff>457200</xdr:colOff>
                <xdr:row>199</xdr:row>
                <xdr:rowOff>85725</xdr:rowOff>
              </from>
              <to>
                <xdr:col>14</xdr:col>
                <xdr:colOff>647700</xdr:colOff>
                <xdr:row>199</xdr:row>
                <xdr:rowOff>247650</xdr:rowOff>
              </to>
            </anchor>
          </controlPr>
        </control>
      </mc:Choice>
      <mc:Fallback>
        <control shapeId="35916" r:id="rId119" name="OptionButton84"/>
      </mc:Fallback>
    </mc:AlternateContent>
    <mc:AlternateContent xmlns:mc="http://schemas.openxmlformats.org/markup-compatibility/2006">
      <mc:Choice Requires="x14">
        <control shapeId="35917" r:id="rId121" name="OptionButton85">
          <controlPr defaultSize="0" autoLine="0" linkedCell="'C.Prestador'!O107" r:id="rId122">
            <anchor moveWithCells="1">
              <from>
                <xdr:col>15</xdr:col>
                <xdr:colOff>457200</xdr:colOff>
                <xdr:row>199</xdr:row>
                <xdr:rowOff>85725</xdr:rowOff>
              </from>
              <to>
                <xdr:col>15</xdr:col>
                <xdr:colOff>647700</xdr:colOff>
                <xdr:row>199</xdr:row>
                <xdr:rowOff>247650</xdr:rowOff>
              </to>
            </anchor>
          </controlPr>
        </control>
      </mc:Choice>
      <mc:Fallback>
        <control shapeId="35917" r:id="rId121" name="OptionButton85"/>
      </mc:Fallback>
    </mc:AlternateContent>
    <mc:AlternateContent xmlns:mc="http://schemas.openxmlformats.org/markup-compatibility/2006">
      <mc:Choice Requires="x14">
        <control shapeId="35918" r:id="rId123" name="OptionButton86">
          <controlPr defaultSize="0" autoLine="0" linkedCell="'C.Prestador'!M108" r:id="rId124">
            <anchor moveWithCells="1">
              <from>
                <xdr:col>13</xdr:col>
                <xdr:colOff>457200</xdr:colOff>
                <xdr:row>200</xdr:row>
                <xdr:rowOff>85725</xdr:rowOff>
              </from>
              <to>
                <xdr:col>13</xdr:col>
                <xdr:colOff>647700</xdr:colOff>
                <xdr:row>200</xdr:row>
                <xdr:rowOff>247650</xdr:rowOff>
              </to>
            </anchor>
          </controlPr>
        </control>
      </mc:Choice>
      <mc:Fallback>
        <control shapeId="35918" r:id="rId123" name="OptionButton86"/>
      </mc:Fallback>
    </mc:AlternateContent>
    <mc:AlternateContent xmlns:mc="http://schemas.openxmlformats.org/markup-compatibility/2006">
      <mc:Choice Requires="x14">
        <control shapeId="35919" r:id="rId125" name="OptionButton87">
          <controlPr defaultSize="0" autoLine="0" linkedCell="'C.Prestador'!N108" r:id="rId126">
            <anchor moveWithCells="1">
              <from>
                <xdr:col>14</xdr:col>
                <xdr:colOff>457200</xdr:colOff>
                <xdr:row>200</xdr:row>
                <xdr:rowOff>85725</xdr:rowOff>
              </from>
              <to>
                <xdr:col>14</xdr:col>
                <xdr:colOff>647700</xdr:colOff>
                <xdr:row>200</xdr:row>
                <xdr:rowOff>247650</xdr:rowOff>
              </to>
            </anchor>
          </controlPr>
        </control>
      </mc:Choice>
      <mc:Fallback>
        <control shapeId="35919" r:id="rId125" name="OptionButton87"/>
      </mc:Fallback>
    </mc:AlternateContent>
    <mc:AlternateContent xmlns:mc="http://schemas.openxmlformats.org/markup-compatibility/2006">
      <mc:Choice Requires="x14">
        <control shapeId="35920" r:id="rId127" name="OptionButton88">
          <controlPr defaultSize="0" autoLine="0" linkedCell="'C.Prestador'!O108" r:id="rId128">
            <anchor moveWithCells="1">
              <from>
                <xdr:col>15</xdr:col>
                <xdr:colOff>457200</xdr:colOff>
                <xdr:row>200</xdr:row>
                <xdr:rowOff>85725</xdr:rowOff>
              </from>
              <to>
                <xdr:col>15</xdr:col>
                <xdr:colOff>647700</xdr:colOff>
                <xdr:row>200</xdr:row>
                <xdr:rowOff>247650</xdr:rowOff>
              </to>
            </anchor>
          </controlPr>
        </control>
      </mc:Choice>
      <mc:Fallback>
        <control shapeId="35920" r:id="rId127" name="OptionButton88"/>
      </mc:Fallback>
    </mc:AlternateContent>
    <mc:AlternateContent xmlns:mc="http://schemas.openxmlformats.org/markup-compatibility/2006">
      <mc:Choice Requires="x14">
        <control shapeId="35921" r:id="rId129" name="OptionButton89">
          <controlPr defaultSize="0" autoLine="0" linkedCell="'C.Prestador'!M109" r:id="rId130">
            <anchor moveWithCells="1">
              <from>
                <xdr:col>13</xdr:col>
                <xdr:colOff>447675</xdr:colOff>
                <xdr:row>201</xdr:row>
                <xdr:rowOff>85725</xdr:rowOff>
              </from>
              <to>
                <xdr:col>13</xdr:col>
                <xdr:colOff>638175</xdr:colOff>
                <xdr:row>201</xdr:row>
                <xdr:rowOff>247650</xdr:rowOff>
              </to>
            </anchor>
          </controlPr>
        </control>
      </mc:Choice>
      <mc:Fallback>
        <control shapeId="35921" r:id="rId129" name="OptionButton89"/>
      </mc:Fallback>
    </mc:AlternateContent>
    <mc:AlternateContent xmlns:mc="http://schemas.openxmlformats.org/markup-compatibility/2006">
      <mc:Choice Requires="x14">
        <control shapeId="35922" r:id="rId131" name="OptionButton90">
          <controlPr defaultSize="0" autoLine="0" linkedCell="'C.Prestador'!N109" r:id="rId132">
            <anchor moveWithCells="1">
              <from>
                <xdr:col>14</xdr:col>
                <xdr:colOff>447675</xdr:colOff>
                <xdr:row>201</xdr:row>
                <xdr:rowOff>85725</xdr:rowOff>
              </from>
              <to>
                <xdr:col>14</xdr:col>
                <xdr:colOff>638175</xdr:colOff>
                <xdr:row>201</xdr:row>
                <xdr:rowOff>247650</xdr:rowOff>
              </to>
            </anchor>
          </controlPr>
        </control>
      </mc:Choice>
      <mc:Fallback>
        <control shapeId="35922" r:id="rId131" name="OptionButton90"/>
      </mc:Fallback>
    </mc:AlternateContent>
    <mc:AlternateContent xmlns:mc="http://schemas.openxmlformats.org/markup-compatibility/2006">
      <mc:Choice Requires="x14">
        <control shapeId="35923" r:id="rId133" name="OptionButton91">
          <controlPr defaultSize="0" autoLine="0" linkedCell="'C.Prestador'!O109" r:id="rId134">
            <anchor moveWithCells="1">
              <from>
                <xdr:col>15</xdr:col>
                <xdr:colOff>447675</xdr:colOff>
                <xdr:row>201</xdr:row>
                <xdr:rowOff>85725</xdr:rowOff>
              </from>
              <to>
                <xdr:col>15</xdr:col>
                <xdr:colOff>638175</xdr:colOff>
                <xdr:row>201</xdr:row>
                <xdr:rowOff>247650</xdr:rowOff>
              </to>
            </anchor>
          </controlPr>
        </control>
      </mc:Choice>
      <mc:Fallback>
        <control shapeId="35923" r:id="rId133" name="OptionButton91"/>
      </mc:Fallback>
    </mc:AlternateContent>
    <mc:AlternateContent xmlns:mc="http://schemas.openxmlformats.org/markup-compatibility/2006">
      <mc:Choice Requires="x14">
        <control shapeId="35924" r:id="rId135" name="OptionButton92">
          <controlPr defaultSize="0" autoLine="0" linkedCell="'C.Prestador'!M110" r:id="rId136">
            <anchor moveWithCells="1">
              <from>
                <xdr:col>13</xdr:col>
                <xdr:colOff>447675</xdr:colOff>
                <xdr:row>202</xdr:row>
                <xdr:rowOff>85725</xdr:rowOff>
              </from>
              <to>
                <xdr:col>13</xdr:col>
                <xdr:colOff>638175</xdr:colOff>
                <xdr:row>202</xdr:row>
                <xdr:rowOff>247650</xdr:rowOff>
              </to>
            </anchor>
          </controlPr>
        </control>
      </mc:Choice>
      <mc:Fallback>
        <control shapeId="35924" r:id="rId135" name="OptionButton92"/>
      </mc:Fallback>
    </mc:AlternateContent>
    <mc:AlternateContent xmlns:mc="http://schemas.openxmlformats.org/markup-compatibility/2006">
      <mc:Choice Requires="x14">
        <control shapeId="35925" r:id="rId137" name="OptionButton93">
          <controlPr defaultSize="0" autoLine="0" linkedCell="'C.Prestador'!N110" r:id="rId138">
            <anchor moveWithCells="1">
              <from>
                <xdr:col>14</xdr:col>
                <xdr:colOff>447675</xdr:colOff>
                <xdr:row>202</xdr:row>
                <xdr:rowOff>85725</xdr:rowOff>
              </from>
              <to>
                <xdr:col>14</xdr:col>
                <xdr:colOff>638175</xdr:colOff>
                <xdr:row>202</xdr:row>
                <xdr:rowOff>247650</xdr:rowOff>
              </to>
            </anchor>
          </controlPr>
        </control>
      </mc:Choice>
      <mc:Fallback>
        <control shapeId="35925" r:id="rId137" name="OptionButton93"/>
      </mc:Fallback>
    </mc:AlternateContent>
    <mc:AlternateContent xmlns:mc="http://schemas.openxmlformats.org/markup-compatibility/2006">
      <mc:Choice Requires="x14">
        <control shapeId="35926" r:id="rId139" name="OptionButton94">
          <controlPr defaultSize="0" autoLine="0" linkedCell="'C.Prestador'!O110" r:id="rId140">
            <anchor moveWithCells="1">
              <from>
                <xdr:col>15</xdr:col>
                <xdr:colOff>447675</xdr:colOff>
                <xdr:row>202</xdr:row>
                <xdr:rowOff>85725</xdr:rowOff>
              </from>
              <to>
                <xdr:col>15</xdr:col>
                <xdr:colOff>638175</xdr:colOff>
                <xdr:row>202</xdr:row>
                <xdr:rowOff>247650</xdr:rowOff>
              </to>
            </anchor>
          </controlPr>
        </control>
      </mc:Choice>
      <mc:Fallback>
        <control shapeId="35926" r:id="rId139" name="OptionButton94"/>
      </mc:Fallback>
    </mc:AlternateContent>
    <mc:AlternateContent xmlns:mc="http://schemas.openxmlformats.org/markup-compatibility/2006">
      <mc:Choice Requires="x14">
        <control shapeId="35927" r:id="rId141" name="OptionButton95">
          <controlPr defaultSize="0" autoLine="0" linkedCell="'C.Prestador'!M111" r:id="rId142">
            <anchor moveWithCells="1">
              <from>
                <xdr:col>13</xdr:col>
                <xdr:colOff>447675</xdr:colOff>
                <xdr:row>203</xdr:row>
                <xdr:rowOff>85725</xdr:rowOff>
              </from>
              <to>
                <xdr:col>13</xdr:col>
                <xdr:colOff>638175</xdr:colOff>
                <xdr:row>203</xdr:row>
                <xdr:rowOff>247650</xdr:rowOff>
              </to>
            </anchor>
          </controlPr>
        </control>
      </mc:Choice>
      <mc:Fallback>
        <control shapeId="35927" r:id="rId141" name="OptionButton95"/>
      </mc:Fallback>
    </mc:AlternateContent>
    <mc:AlternateContent xmlns:mc="http://schemas.openxmlformats.org/markup-compatibility/2006">
      <mc:Choice Requires="x14">
        <control shapeId="35928" r:id="rId143" name="OptionButton96">
          <controlPr defaultSize="0" autoLine="0" linkedCell="'C.Prestador'!N111" r:id="rId144">
            <anchor moveWithCells="1">
              <from>
                <xdr:col>14</xdr:col>
                <xdr:colOff>447675</xdr:colOff>
                <xdr:row>203</xdr:row>
                <xdr:rowOff>85725</xdr:rowOff>
              </from>
              <to>
                <xdr:col>14</xdr:col>
                <xdr:colOff>638175</xdr:colOff>
                <xdr:row>203</xdr:row>
                <xdr:rowOff>247650</xdr:rowOff>
              </to>
            </anchor>
          </controlPr>
        </control>
      </mc:Choice>
      <mc:Fallback>
        <control shapeId="35928" r:id="rId143" name="OptionButton96"/>
      </mc:Fallback>
    </mc:AlternateContent>
    <mc:AlternateContent xmlns:mc="http://schemas.openxmlformats.org/markup-compatibility/2006">
      <mc:Choice Requires="x14">
        <control shapeId="35929" r:id="rId145" name="OptionButton97">
          <controlPr defaultSize="0" autoLine="0" linkedCell="'C.Prestador'!O111" r:id="rId146">
            <anchor moveWithCells="1">
              <from>
                <xdr:col>15</xdr:col>
                <xdr:colOff>447675</xdr:colOff>
                <xdr:row>203</xdr:row>
                <xdr:rowOff>85725</xdr:rowOff>
              </from>
              <to>
                <xdr:col>15</xdr:col>
                <xdr:colOff>638175</xdr:colOff>
                <xdr:row>203</xdr:row>
                <xdr:rowOff>247650</xdr:rowOff>
              </to>
            </anchor>
          </controlPr>
        </control>
      </mc:Choice>
      <mc:Fallback>
        <control shapeId="35929" r:id="rId145" name="OptionButton97"/>
      </mc:Fallback>
    </mc:AlternateContent>
    <mc:AlternateContent xmlns:mc="http://schemas.openxmlformats.org/markup-compatibility/2006">
      <mc:Choice Requires="x14">
        <control shapeId="35930" r:id="rId147" name="OptionButton98">
          <controlPr defaultSize="0" autoLine="0" linkedCell="'C.Prestador'!M112" r:id="rId148">
            <anchor moveWithCells="1">
              <from>
                <xdr:col>13</xdr:col>
                <xdr:colOff>447675</xdr:colOff>
                <xdr:row>204</xdr:row>
                <xdr:rowOff>85725</xdr:rowOff>
              </from>
              <to>
                <xdr:col>13</xdr:col>
                <xdr:colOff>638175</xdr:colOff>
                <xdr:row>204</xdr:row>
                <xdr:rowOff>247650</xdr:rowOff>
              </to>
            </anchor>
          </controlPr>
        </control>
      </mc:Choice>
      <mc:Fallback>
        <control shapeId="35930" r:id="rId147" name="OptionButton98"/>
      </mc:Fallback>
    </mc:AlternateContent>
    <mc:AlternateContent xmlns:mc="http://schemas.openxmlformats.org/markup-compatibility/2006">
      <mc:Choice Requires="x14">
        <control shapeId="35931" r:id="rId149" name="OptionButton99">
          <controlPr defaultSize="0" autoLine="0" linkedCell="'C.Prestador'!N112" r:id="rId150">
            <anchor moveWithCells="1">
              <from>
                <xdr:col>14</xdr:col>
                <xdr:colOff>447675</xdr:colOff>
                <xdr:row>204</xdr:row>
                <xdr:rowOff>85725</xdr:rowOff>
              </from>
              <to>
                <xdr:col>14</xdr:col>
                <xdr:colOff>638175</xdr:colOff>
                <xdr:row>204</xdr:row>
                <xdr:rowOff>247650</xdr:rowOff>
              </to>
            </anchor>
          </controlPr>
        </control>
      </mc:Choice>
      <mc:Fallback>
        <control shapeId="35931" r:id="rId149" name="OptionButton99"/>
      </mc:Fallback>
    </mc:AlternateContent>
    <mc:AlternateContent xmlns:mc="http://schemas.openxmlformats.org/markup-compatibility/2006">
      <mc:Choice Requires="x14">
        <control shapeId="35932" r:id="rId151" name="OptionButton100">
          <controlPr defaultSize="0" autoLine="0" linkedCell="'C.Prestador'!O112" r:id="rId152">
            <anchor moveWithCells="1">
              <from>
                <xdr:col>15</xdr:col>
                <xdr:colOff>447675</xdr:colOff>
                <xdr:row>204</xdr:row>
                <xdr:rowOff>85725</xdr:rowOff>
              </from>
              <to>
                <xdr:col>15</xdr:col>
                <xdr:colOff>638175</xdr:colOff>
                <xdr:row>204</xdr:row>
                <xdr:rowOff>247650</xdr:rowOff>
              </to>
            </anchor>
          </controlPr>
        </control>
      </mc:Choice>
      <mc:Fallback>
        <control shapeId="35932" r:id="rId151" name="OptionButton100"/>
      </mc:Fallback>
    </mc:AlternateContent>
    <mc:AlternateContent xmlns:mc="http://schemas.openxmlformats.org/markup-compatibility/2006">
      <mc:Choice Requires="x14">
        <control shapeId="35933" r:id="rId153" name="OptionButton101">
          <controlPr defaultSize="0" autoLine="0" linkedCell="'C.Prestador'!M113" r:id="rId154">
            <anchor moveWithCells="1">
              <from>
                <xdr:col>13</xdr:col>
                <xdr:colOff>447675</xdr:colOff>
                <xdr:row>205</xdr:row>
                <xdr:rowOff>85725</xdr:rowOff>
              </from>
              <to>
                <xdr:col>13</xdr:col>
                <xdr:colOff>638175</xdr:colOff>
                <xdr:row>205</xdr:row>
                <xdr:rowOff>247650</xdr:rowOff>
              </to>
            </anchor>
          </controlPr>
        </control>
      </mc:Choice>
      <mc:Fallback>
        <control shapeId="35933" r:id="rId153" name="OptionButton101"/>
      </mc:Fallback>
    </mc:AlternateContent>
    <mc:AlternateContent xmlns:mc="http://schemas.openxmlformats.org/markup-compatibility/2006">
      <mc:Choice Requires="x14">
        <control shapeId="35934" r:id="rId155" name="OptionButton102">
          <controlPr defaultSize="0" autoLine="0" linkedCell="'C.Prestador'!N113" r:id="rId156">
            <anchor moveWithCells="1">
              <from>
                <xdr:col>14</xdr:col>
                <xdr:colOff>447675</xdr:colOff>
                <xdr:row>205</xdr:row>
                <xdr:rowOff>85725</xdr:rowOff>
              </from>
              <to>
                <xdr:col>14</xdr:col>
                <xdr:colOff>638175</xdr:colOff>
                <xdr:row>205</xdr:row>
                <xdr:rowOff>247650</xdr:rowOff>
              </to>
            </anchor>
          </controlPr>
        </control>
      </mc:Choice>
      <mc:Fallback>
        <control shapeId="35934" r:id="rId155" name="OptionButton102"/>
      </mc:Fallback>
    </mc:AlternateContent>
    <mc:AlternateContent xmlns:mc="http://schemas.openxmlformats.org/markup-compatibility/2006">
      <mc:Choice Requires="x14">
        <control shapeId="35935" r:id="rId157" name="OptionButton103">
          <controlPr defaultSize="0" autoLine="0" linkedCell="'C.Prestador'!O113" r:id="rId158">
            <anchor moveWithCells="1">
              <from>
                <xdr:col>15</xdr:col>
                <xdr:colOff>447675</xdr:colOff>
                <xdr:row>205</xdr:row>
                <xdr:rowOff>85725</xdr:rowOff>
              </from>
              <to>
                <xdr:col>15</xdr:col>
                <xdr:colOff>638175</xdr:colOff>
                <xdr:row>205</xdr:row>
                <xdr:rowOff>247650</xdr:rowOff>
              </to>
            </anchor>
          </controlPr>
        </control>
      </mc:Choice>
      <mc:Fallback>
        <control shapeId="35935" r:id="rId157" name="OptionButton103"/>
      </mc:Fallback>
    </mc:AlternateContent>
    <mc:AlternateContent xmlns:mc="http://schemas.openxmlformats.org/markup-compatibility/2006">
      <mc:Choice Requires="x14">
        <control shapeId="35936" r:id="rId159" name="OptionButton104">
          <controlPr defaultSize="0" autoLine="0" linkedCell="'C.Prestador'!M114" r:id="rId160">
            <anchor moveWithCells="1">
              <from>
                <xdr:col>13</xdr:col>
                <xdr:colOff>447675</xdr:colOff>
                <xdr:row>206</xdr:row>
                <xdr:rowOff>85725</xdr:rowOff>
              </from>
              <to>
                <xdr:col>13</xdr:col>
                <xdr:colOff>638175</xdr:colOff>
                <xdr:row>206</xdr:row>
                <xdr:rowOff>247650</xdr:rowOff>
              </to>
            </anchor>
          </controlPr>
        </control>
      </mc:Choice>
      <mc:Fallback>
        <control shapeId="35936" r:id="rId159" name="OptionButton104"/>
      </mc:Fallback>
    </mc:AlternateContent>
    <mc:AlternateContent xmlns:mc="http://schemas.openxmlformats.org/markup-compatibility/2006">
      <mc:Choice Requires="x14">
        <control shapeId="35937" r:id="rId161" name="OptionButton105">
          <controlPr defaultSize="0" autoLine="0" linkedCell="'C.Prestador'!N114" r:id="rId162">
            <anchor moveWithCells="1">
              <from>
                <xdr:col>14</xdr:col>
                <xdr:colOff>447675</xdr:colOff>
                <xdr:row>206</xdr:row>
                <xdr:rowOff>85725</xdr:rowOff>
              </from>
              <to>
                <xdr:col>14</xdr:col>
                <xdr:colOff>638175</xdr:colOff>
                <xdr:row>206</xdr:row>
                <xdr:rowOff>247650</xdr:rowOff>
              </to>
            </anchor>
          </controlPr>
        </control>
      </mc:Choice>
      <mc:Fallback>
        <control shapeId="35937" r:id="rId161" name="OptionButton105"/>
      </mc:Fallback>
    </mc:AlternateContent>
    <mc:AlternateContent xmlns:mc="http://schemas.openxmlformats.org/markup-compatibility/2006">
      <mc:Choice Requires="x14">
        <control shapeId="35938" r:id="rId163" name="OptionButton106">
          <controlPr defaultSize="0" autoLine="0" linkedCell="'C.Prestador'!O114" r:id="rId164">
            <anchor moveWithCells="1">
              <from>
                <xdr:col>15</xdr:col>
                <xdr:colOff>447675</xdr:colOff>
                <xdr:row>206</xdr:row>
                <xdr:rowOff>85725</xdr:rowOff>
              </from>
              <to>
                <xdr:col>15</xdr:col>
                <xdr:colOff>638175</xdr:colOff>
                <xdr:row>206</xdr:row>
                <xdr:rowOff>247650</xdr:rowOff>
              </to>
            </anchor>
          </controlPr>
        </control>
      </mc:Choice>
      <mc:Fallback>
        <control shapeId="35938" r:id="rId163" name="OptionButton106"/>
      </mc:Fallback>
    </mc:AlternateContent>
    <mc:AlternateContent xmlns:mc="http://schemas.openxmlformats.org/markup-compatibility/2006">
      <mc:Choice Requires="x14">
        <control shapeId="35939" r:id="rId165" name="OptionButton107">
          <controlPr defaultSize="0" autoLine="0" linkedCell="'C.Prestador'!M115" r:id="rId166">
            <anchor moveWithCells="1">
              <from>
                <xdr:col>13</xdr:col>
                <xdr:colOff>438150</xdr:colOff>
                <xdr:row>207</xdr:row>
                <xdr:rowOff>66675</xdr:rowOff>
              </from>
              <to>
                <xdr:col>13</xdr:col>
                <xdr:colOff>628650</xdr:colOff>
                <xdr:row>207</xdr:row>
                <xdr:rowOff>228600</xdr:rowOff>
              </to>
            </anchor>
          </controlPr>
        </control>
      </mc:Choice>
      <mc:Fallback>
        <control shapeId="35939" r:id="rId165" name="OptionButton107"/>
      </mc:Fallback>
    </mc:AlternateContent>
    <mc:AlternateContent xmlns:mc="http://schemas.openxmlformats.org/markup-compatibility/2006">
      <mc:Choice Requires="x14">
        <control shapeId="35940" r:id="rId167" name="OptionButton108">
          <controlPr defaultSize="0" autoLine="0" linkedCell="'C.Prestador'!N115" r:id="rId168">
            <anchor moveWithCells="1">
              <from>
                <xdr:col>14</xdr:col>
                <xdr:colOff>438150</xdr:colOff>
                <xdr:row>207</xdr:row>
                <xdr:rowOff>66675</xdr:rowOff>
              </from>
              <to>
                <xdr:col>14</xdr:col>
                <xdr:colOff>628650</xdr:colOff>
                <xdr:row>207</xdr:row>
                <xdr:rowOff>228600</xdr:rowOff>
              </to>
            </anchor>
          </controlPr>
        </control>
      </mc:Choice>
      <mc:Fallback>
        <control shapeId="35940" r:id="rId167" name="OptionButton108"/>
      </mc:Fallback>
    </mc:AlternateContent>
    <mc:AlternateContent xmlns:mc="http://schemas.openxmlformats.org/markup-compatibility/2006">
      <mc:Choice Requires="x14">
        <control shapeId="35941" r:id="rId169" name="OptionButton109">
          <controlPr defaultSize="0" autoLine="0" linkedCell="'C.Prestador'!O115" r:id="rId170">
            <anchor moveWithCells="1">
              <from>
                <xdr:col>15</xdr:col>
                <xdr:colOff>438150</xdr:colOff>
                <xdr:row>207</xdr:row>
                <xdr:rowOff>66675</xdr:rowOff>
              </from>
              <to>
                <xdr:col>15</xdr:col>
                <xdr:colOff>628650</xdr:colOff>
                <xdr:row>207</xdr:row>
                <xdr:rowOff>228600</xdr:rowOff>
              </to>
            </anchor>
          </controlPr>
        </control>
      </mc:Choice>
      <mc:Fallback>
        <control shapeId="35941" r:id="rId169" name="OptionButton109"/>
      </mc:Fallback>
    </mc:AlternateContent>
    <mc:AlternateContent xmlns:mc="http://schemas.openxmlformats.org/markup-compatibility/2006">
      <mc:Choice Requires="x14">
        <control shapeId="35942" r:id="rId171" name="OptionButton110">
          <controlPr defaultSize="0" autoLine="0" linkedCell="'C.Prestador'!M116" r:id="rId172">
            <anchor moveWithCells="1">
              <from>
                <xdr:col>13</xdr:col>
                <xdr:colOff>438150</xdr:colOff>
                <xdr:row>208</xdr:row>
                <xdr:rowOff>66675</xdr:rowOff>
              </from>
              <to>
                <xdr:col>13</xdr:col>
                <xdr:colOff>628650</xdr:colOff>
                <xdr:row>208</xdr:row>
                <xdr:rowOff>228600</xdr:rowOff>
              </to>
            </anchor>
          </controlPr>
        </control>
      </mc:Choice>
      <mc:Fallback>
        <control shapeId="35942" r:id="rId171" name="OptionButton110"/>
      </mc:Fallback>
    </mc:AlternateContent>
    <mc:AlternateContent xmlns:mc="http://schemas.openxmlformats.org/markup-compatibility/2006">
      <mc:Choice Requires="x14">
        <control shapeId="35943" r:id="rId173" name="OptionButton111">
          <controlPr defaultSize="0" autoLine="0" linkedCell="'C.Prestador'!N116" r:id="rId174">
            <anchor moveWithCells="1">
              <from>
                <xdr:col>14</xdr:col>
                <xdr:colOff>438150</xdr:colOff>
                <xdr:row>208</xdr:row>
                <xdr:rowOff>66675</xdr:rowOff>
              </from>
              <to>
                <xdr:col>14</xdr:col>
                <xdr:colOff>628650</xdr:colOff>
                <xdr:row>208</xdr:row>
                <xdr:rowOff>228600</xdr:rowOff>
              </to>
            </anchor>
          </controlPr>
        </control>
      </mc:Choice>
      <mc:Fallback>
        <control shapeId="35943" r:id="rId173" name="OptionButton111"/>
      </mc:Fallback>
    </mc:AlternateContent>
    <mc:AlternateContent xmlns:mc="http://schemas.openxmlformats.org/markup-compatibility/2006">
      <mc:Choice Requires="x14">
        <control shapeId="35944" r:id="rId175" name="OptionButton112">
          <controlPr defaultSize="0" autoLine="0" linkedCell="'C.Prestador'!O116" r:id="rId176">
            <anchor moveWithCells="1">
              <from>
                <xdr:col>15</xdr:col>
                <xdr:colOff>438150</xdr:colOff>
                <xdr:row>208</xdr:row>
                <xdr:rowOff>66675</xdr:rowOff>
              </from>
              <to>
                <xdr:col>15</xdr:col>
                <xdr:colOff>628650</xdr:colOff>
                <xdr:row>208</xdr:row>
                <xdr:rowOff>228600</xdr:rowOff>
              </to>
            </anchor>
          </controlPr>
        </control>
      </mc:Choice>
      <mc:Fallback>
        <control shapeId="35944" r:id="rId175" name="OptionButton112"/>
      </mc:Fallback>
    </mc:AlternateContent>
    <mc:AlternateContent xmlns:mc="http://schemas.openxmlformats.org/markup-compatibility/2006">
      <mc:Choice Requires="x14">
        <control shapeId="35945" r:id="rId177" name="OptionButton113">
          <controlPr defaultSize="0" autoLine="0" linkedCell="'C.Prestador'!M117" r:id="rId178">
            <anchor moveWithCells="1">
              <from>
                <xdr:col>13</xdr:col>
                <xdr:colOff>438150</xdr:colOff>
                <xdr:row>210</xdr:row>
                <xdr:rowOff>57150</xdr:rowOff>
              </from>
              <to>
                <xdr:col>13</xdr:col>
                <xdr:colOff>628650</xdr:colOff>
                <xdr:row>210</xdr:row>
                <xdr:rowOff>219075</xdr:rowOff>
              </to>
            </anchor>
          </controlPr>
        </control>
      </mc:Choice>
      <mc:Fallback>
        <control shapeId="35945" r:id="rId177" name="OptionButton113"/>
      </mc:Fallback>
    </mc:AlternateContent>
    <mc:AlternateContent xmlns:mc="http://schemas.openxmlformats.org/markup-compatibility/2006">
      <mc:Choice Requires="x14">
        <control shapeId="35946" r:id="rId179" name="OptionButton114">
          <controlPr defaultSize="0" autoLine="0" linkedCell="'C.Prestador'!N117" r:id="rId180">
            <anchor moveWithCells="1">
              <from>
                <xdr:col>14</xdr:col>
                <xdr:colOff>438150</xdr:colOff>
                <xdr:row>210</xdr:row>
                <xdr:rowOff>57150</xdr:rowOff>
              </from>
              <to>
                <xdr:col>14</xdr:col>
                <xdr:colOff>628650</xdr:colOff>
                <xdr:row>210</xdr:row>
                <xdr:rowOff>219075</xdr:rowOff>
              </to>
            </anchor>
          </controlPr>
        </control>
      </mc:Choice>
      <mc:Fallback>
        <control shapeId="35946" r:id="rId179" name="OptionButton114"/>
      </mc:Fallback>
    </mc:AlternateContent>
    <mc:AlternateContent xmlns:mc="http://schemas.openxmlformats.org/markup-compatibility/2006">
      <mc:Choice Requires="x14">
        <control shapeId="35947" r:id="rId181" name="OptionButton115">
          <controlPr defaultSize="0" autoLine="0" linkedCell="'C.Prestador'!O117" r:id="rId182">
            <anchor moveWithCells="1">
              <from>
                <xdr:col>15</xdr:col>
                <xdr:colOff>438150</xdr:colOff>
                <xdr:row>210</xdr:row>
                <xdr:rowOff>57150</xdr:rowOff>
              </from>
              <to>
                <xdr:col>15</xdr:col>
                <xdr:colOff>628650</xdr:colOff>
                <xdr:row>210</xdr:row>
                <xdr:rowOff>219075</xdr:rowOff>
              </to>
            </anchor>
          </controlPr>
        </control>
      </mc:Choice>
      <mc:Fallback>
        <control shapeId="35947" r:id="rId181" name="OptionButton115"/>
      </mc:Fallback>
    </mc:AlternateContent>
    <mc:AlternateContent xmlns:mc="http://schemas.openxmlformats.org/markup-compatibility/2006">
      <mc:Choice Requires="x14">
        <control shapeId="35948" r:id="rId183" name="OptionButton116">
          <controlPr defaultSize="0" autoLine="0" linkedCell="'C.Prestador'!M118" r:id="rId184">
            <anchor moveWithCells="1">
              <from>
                <xdr:col>13</xdr:col>
                <xdr:colOff>438150</xdr:colOff>
                <xdr:row>211</xdr:row>
                <xdr:rowOff>57150</xdr:rowOff>
              </from>
              <to>
                <xdr:col>13</xdr:col>
                <xdr:colOff>628650</xdr:colOff>
                <xdr:row>211</xdr:row>
                <xdr:rowOff>219075</xdr:rowOff>
              </to>
            </anchor>
          </controlPr>
        </control>
      </mc:Choice>
      <mc:Fallback>
        <control shapeId="35948" r:id="rId183" name="OptionButton116"/>
      </mc:Fallback>
    </mc:AlternateContent>
    <mc:AlternateContent xmlns:mc="http://schemas.openxmlformats.org/markup-compatibility/2006">
      <mc:Choice Requires="x14">
        <control shapeId="35949" r:id="rId185" name="OptionButton117">
          <controlPr defaultSize="0" autoLine="0" linkedCell="'C.Prestador'!N118" r:id="rId186">
            <anchor moveWithCells="1">
              <from>
                <xdr:col>14</xdr:col>
                <xdr:colOff>438150</xdr:colOff>
                <xdr:row>211</xdr:row>
                <xdr:rowOff>57150</xdr:rowOff>
              </from>
              <to>
                <xdr:col>14</xdr:col>
                <xdr:colOff>628650</xdr:colOff>
                <xdr:row>211</xdr:row>
                <xdr:rowOff>219075</xdr:rowOff>
              </to>
            </anchor>
          </controlPr>
        </control>
      </mc:Choice>
      <mc:Fallback>
        <control shapeId="35949" r:id="rId185" name="OptionButton117"/>
      </mc:Fallback>
    </mc:AlternateContent>
    <mc:AlternateContent xmlns:mc="http://schemas.openxmlformats.org/markup-compatibility/2006">
      <mc:Choice Requires="x14">
        <control shapeId="35950" r:id="rId187" name="OptionButton118">
          <controlPr defaultSize="0" autoLine="0" linkedCell="'C.Prestador'!O118" r:id="rId188">
            <anchor moveWithCells="1">
              <from>
                <xdr:col>15</xdr:col>
                <xdr:colOff>438150</xdr:colOff>
                <xdr:row>211</xdr:row>
                <xdr:rowOff>57150</xdr:rowOff>
              </from>
              <to>
                <xdr:col>15</xdr:col>
                <xdr:colOff>628650</xdr:colOff>
                <xdr:row>211</xdr:row>
                <xdr:rowOff>219075</xdr:rowOff>
              </to>
            </anchor>
          </controlPr>
        </control>
      </mc:Choice>
      <mc:Fallback>
        <control shapeId="35950" r:id="rId187" name="OptionButton118"/>
      </mc:Fallback>
    </mc:AlternateContent>
    <mc:AlternateContent xmlns:mc="http://schemas.openxmlformats.org/markup-compatibility/2006">
      <mc:Choice Requires="x14">
        <control shapeId="35951" r:id="rId189" name="OptionButton119">
          <controlPr defaultSize="0" autoLine="0" linkedCell="'C.Prestador'!M119" r:id="rId190">
            <anchor moveWithCells="1">
              <from>
                <xdr:col>13</xdr:col>
                <xdr:colOff>438150</xdr:colOff>
                <xdr:row>212</xdr:row>
                <xdr:rowOff>57150</xdr:rowOff>
              </from>
              <to>
                <xdr:col>13</xdr:col>
                <xdr:colOff>628650</xdr:colOff>
                <xdr:row>212</xdr:row>
                <xdr:rowOff>219075</xdr:rowOff>
              </to>
            </anchor>
          </controlPr>
        </control>
      </mc:Choice>
      <mc:Fallback>
        <control shapeId="35951" r:id="rId189" name="OptionButton119"/>
      </mc:Fallback>
    </mc:AlternateContent>
    <mc:AlternateContent xmlns:mc="http://schemas.openxmlformats.org/markup-compatibility/2006">
      <mc:Choice Requires="x14">
        <control shapeId="35952" r:id="rId191" name="OptionButton120">
          <controlPr defaultSize="0" autoLine="0" linkedCell="'C.Prestador'!N119" r:id="rId192">
            <anchor moveWithCells="1">
              <from>
                <xdr:col>14</xdr:col>
                <xdr:colOff>438150</xdr:colOff>
                <xdr:row>212</xdr:row>
                <xdr:rowOff>57150</xdr:rowOff>
              </from>
              <to>
                <xdr:col>14</xdr:col>
                <xdr:colOff>628650</xdr:colOff>
                <xdr:row>212</xdr:row>
                <xdr:rowOff>219075</xdr:rowOff>
              </to>
            </anchor>
          </controlPr>
        </control>
      </mc:Choice>
      <mc:Fallback>
        <control shapeId="35952" r:id="rId191" name="OptionButton120"/>
      </mc:Fallback>
    </mc:AlternateContent>
    <mc:AlternateContent xmlns:mc="http://schemas.openxmlformats.org/markup-compatibility/2006">
      <mc:Choice Requires="x14">
        <control shapeId="35953" r:id="rId193" name="OptionButton121">
          <controlPr defaultSize="0" autoLine="0" linkedCell="'C.Prestador'!O119" r:id="rId194">
            <anchor moveWithCells="1">
              <from>
                <xdr:col>15</xdr:col>
                <xdr:colOff>438150</xdr:colOff>
                <xdr:row>212</xdr:row>
                <xdr:rowOff>57150</xdr:rowOff>
              </from>
              <to>
                <xdr:col>15</xdr:col>
                <xdr:colOff>628650</xdr:colOff>
                <xdr:row>212</xdr:row>
                <xdr:rowOff>219075</xdr:rowOff>
              </to>
            </anchor>
          </controlPr>
        </control>
      </mc:Choice>
      <mc:Fallback>
        <control shapeId="35953" r:id="rId193" name="OptionButton121"/>
      </mc:Fallback>
    </mc:AlternateContent>
    <mc:AlternateContent xmlns:mc="http://schemas.openxmlformats.org/markup-compatibility/2006">
      <mc:Choice Requires="x14">
        <control shapeId="35954" r:id="rId195" name="OptionButton122">
          <controlPr defaultSize="0" autoLine="0" linkedCell="'C.Prestador'!M120" r:id="rId196">
            <anchor moveWithCells="1">
              <from>
                <xdr:col>13</xdr:col>
                <xdr:colOff>447675</xdr:colOff>
                <xdr:row>213</xdr:row>
                <xdr:rowOff>85725</xdr:rowOff>
              </from>
              <to>
                <xdr:col>13</xdr:col>
                <xdr:colOff>638175</xdr:colOff>
                <xdr:row>213</xdr:row>
                <xdr:rowOff>247650</xdr:rowOff>
              </to>
            </anchor>
          </controlPr>
        </control>
      </mc:Choice>
      <mc:Fallback>
        <control shapeId="35954" r:id="rId195" name="OptionButton122"/>
      </mc:Fallback>
    </mc:AlternateContent>
    <mc:AlternateContent xmlns:mc="http://schemas.openxmlformats.org/markup-compatibility/2006">
      <mc:Choice Requires="x14">
        <control shapeId="35955" r:id="rId197" name="OptionButton123">
          <controlPr defaultSize="0" autoLine="0" linkedCell="'C.Prestador'!N120" r:id="rId198">
            <anchor moveWithCells="1">
              <from>
                <xdr:col>14</xdr:col>
                <xdr:colOff>447675</xdr:colOff>
                <xdr:row>213</xdr:row>
                <xdr:rowOff>85725</xdr:rowOff>
              </from>
              <to>
                <xdr:col>14</xdr:col>
                <xdr:colOff>638175</xdr:colOff>
                <xdr:row>213</xdr:row>
                <xdr:rowOff>247650</xdr:rowOff>
              </to>
            </anchor>
          </controlPr>
        </control>
      </mc:Choice>
      <mc:Fallback>
        <control shapeId="35955" r:id="rId197" name="OptionButton123"/>
      </mc:Fallback>
    </mc:AlternateContent>
    <mc:AlternateContent xmlns:mc="http://schemas.openxmlformats.org/markup-compatibility/2006">
      <mc:Choice Requires="x14">
        <control shapeId="35956" r:id="rId199" name="OptionButton124">
          <controlPr defaultSize="0" autoLine="0" linkedCell="'C.Prestador'!O120" r:id="rId200">
            <anchor moveWithCells="1">
              <from>
                <xdr:col>15</xdr:col>
                <xdr:colOff>447675</xdr:colOff>
                <xdr:row>213</xdr:row>
                <xdr:rowOff>85725</xdr:rowOff>
              </from>
              <to>
                <xdr:col>15</xdr:col>
                <xdr:colOff>638175</xdr:colOff>
                <xdr:row>213</xdr:row>
                <xdr:rowOff>247650</xdr:rowOff>
              </to>
            </anchor>
          </controlPr>
        </control>
      </mc:Choice>
      <mc:Fallback>
        <control shapeId="35956" r:id="rId199" name="OptionButton124"/>
      </mc:Fallback>
    </mc:AlternateContent>
    <mc:AlternateContent xmlns:mc="http://schemas.openxmlformats.org/markup-compatibility/2006">
      <mc:Choice Requires="x14">
        <control shapeId="35957" r:id="rId201" name="OptionButton125">
          <controlPr defaultSize="0" autoLine="0" linkedCell="'C.Prestador'!M121" r:id="rId202">
            <anchor moveWithCells="1">
              <from>
                <xdr:col>13</xdr:col>
                <xdr:colOff>428625</xdr:colOff>
                <xdr:row>214</xdr:row>
                <xdr:rowOff>85725</xdr:rowOff>
              </from>
              <to>
                <xdr:col>13</xdr:col>
                <xdr:colOff>619125</xdr:colOff>
                <xdr:row>214</xdr:row>
                <xdr:rowOff>247650</xdr:rowOff>
              </to>
            </anchor>
          </controlPr>
        </control>
      </mc:Choice>
      <mc:Fallback>
        <control shapeId="35957" r:id="rId201" name="OptionButton125"/>
      </mc:Fallback>
    </mc:AlternateContent>
    <mc:AlternateContent xmlns:mc="http://schemas.openxmlformats.org/markup-compatibility/2006">
      <mc:Choice Requires="x14">
        <control shapeId="35958" r:id="rId203" name="OptionButton131">
          <controlPr defaultSize="0" autoLine="0" linkedCell="'C.Prestador'!M122" r:id="rId204">
            <anchor moveWithCells="1">
              <from>
                <xdr:col>13</xdr:col>
                <xdr:colOff>438150</xdr:colOff>
                <xdr:row>215</xdr:row>
                <xdr:rowOff>85725</xdr:rowOff>
              </from>
              <to>
                <xdr:col>13</xdr:col>
                <xdr:colOff>628650</xdr:colOff>
                <xdr:row>215</xdr:row>
                <xdr:rowOff>247650</xdr:rowOff>
              </to>
            </anchor>
          </controlPr>
        </control>
      </mc:Choice>
      <mc:Fallback>
        <control shapeId="35958" r:id="rId203" name="OptionButton131"/>
      </mc:Fallback>
    </mc:AlternateContent>
    <mc:AlternateContent xmlns:mc="http://schemas.openxmlformats.org/markup-compatibility/2006">
      <mc:Choice Requires="x14">
        <control shapeId="35959" r:id="rId205" name="OptionButton132">
          <controlPr defaultSize="0" autoLine="0" linkedCell="'C.Prestador'!N122" r:id="rId206">
            <anchor moveWithCells="1">
              <from>
                <xdr:col>14</xdr:col>
                <xdr:colOff>438150</xdr:colOff>
                <xdr:row>215</xdr:row>
                <xdr:rowOff>85725</xdr:rowOff>
              </from>
              <to>
                <xdr:col>14</xdr:col>
                <xdr:colOff>628650</xdr:colOff>
                <xdr:row>215</xdr:row>
                <xdr:rowOff>247650</xdr:rowOff>
              </to>
            </anchor>
          </controlPr>
        </control>
      </mc:Choice>
      <mc:Fallback>
        <control shapeId="35959" r:id="rId205" name="OptionButton132"/>
      </mc:Fallback>
    </mc:AlternateContent>
    <mc:AlternateContent xmlns:mc="http://schemas.openxmlformats.org/markup-compatibility/2006">
      <mc:Choice Requires="x14">
        <control shapeId="35960" r:id="rId207" name="OptionButton133">
          <controlPr defaultSize="0" autoLine="0" linkedCell="'C.Prestador'!O122" r:id="rId208">
            <anchor moveWithCells="1">
              <from>
                <xdr:col>15</xdr:col>
                <xdr:colOff>438150</xdr:colOff>
                <xdr:row>215</xdr:row>
                <xdr:rowOff>85725</xdr:rowOff>
              </from>
              <to>
                <xdr:col>15</xdr:col>
                <xdr:colOff>628650</xdr:colOff>
                <xdr:row>215</xdr:row>
                <xdr:rowOff>247650</xdr:rowOff>
              </to>
            </anchor>
          </controlPr>
        </control>
      </mc:Choice>
      <mc:Fallback>
        <control shapeId="35960" r:id="rId207" name="OptionButton133"/>
      </mc:Fallback>
    </mc:AlternateContent>
    <mc:AlternateContent xmlns:mc="http://schemas.openxmlformats.org/markup-compatibility/2006">
      <mc:Choice Requires="x14">
        <control shapeId="35961" r:id="rId209" name="OptionButton134">
          <controlPr defaultSize="0" autoLine="0" linkedCell="'C.Prestador'!M123" r:id="rId210">
            <anchor moveWithCells="1">
              <from>
                <xdr:col>13</xdr:col>
                <xdr:colOff>438150</xdr:colOff>
                <xdr:row>216</xdr:row>
                <xdr:rowOff>85725</xdr:rowOff>
              </from>
              <to>
                <xdr:col>13</xdr:col>
                <xdr:colOff>628650</xdr:colOff>
                <xdr:row>216</xdr:row>
                <xdr:rowOff>247650</xdr:rowOff>
              </to>
            </anchor>
          </controlPr>
        </control>
      </mc:Choice>
      <mc:Fallback>
        <control shapeId="35961" r:id="rId209" name="OptionButton134"/>
      </mc:Fallback>
    </mc:AlternateContent>
    <mc:AlternateContent xmlns:mc="http://schemas.openxmlformats.org/markup-compatibility/2006">
      <mc:Choice Requires="x14">
        <control shapeId="35962" r:id="rId211" name="OptionButton135">
          <controlPr defaultSize="0" autoLine="0" linkedCell="'C.Prestador'!N123" r:id="rId212">
            <anchor moveWithCells="1">
              <from>
                <xdr:col>14</xdr:col>
                <xdr:colOff>438150</xdr:colOff>
                <xdr:row>216</xdr:row>
                <xdr:rowOff>85725</xdr:rowOff>
              </from>
              <to>
                <xdr:col>14</xdr:col>
                <xdr:colOff>628650</xdr:colOff>
                <xdr:row>216</xdr:row>
                <xdr:rowOff>247650</xdr:rowOff>
              </to>
            </anchor>
          </controlPr>
        </control>
      </mc:Choice>
      <mc:Fallback>
        <control shapeId="35962" r:id="rId211" name="OptionButton135"/>
      </mc:Fallback>
    </mc:AlternateContent>
    <mc:AlternateContent xmlns:mc="http://schemas.openxmlformats.org/markup-compatibility/2006">
      <mc:Choice Requires="x14">
        <control shapeId="35963" r:id="rId213" name="OptionButton136">
          <controlPr defaultSize="0" autoLine="0" linkedCell="'C.Prestador'!O123" r:id="rId214">
            <anchor moveWithCells="1">
              <from>
                <xdr:col>15</xdr:col>
                <xdr:colOff>438150</xdr:colOff>
                <xdr:row>216</xdr:row>
                <xdr:rowOff>85725</xdr:rowOff>
              </from>
              <to>
                <xdr:col>15</xdr:col>
                <xdr:colOff>628650</xdr:colOff>
                <xdr:row>216</xdr:row>
                <xdr:rowOff>247650</xdr:rowOff>
              </to>
            </anchor>
          </controlPr>
        </control>
      </mc:Choice>
      <mc:Fallback>
        <control shapeId="35963" r:id="rId213" name="OptionButton136"/>
      </mc:Fallback>
    </mc:AlternateContent>
    <mc:AlternateContent xmlns:mc="http://schemas.openxmlformats.org/markup-compatibility/2006">
      <mc:Choice Requires="x14">
        <control shapeId="35964" r:id="rId215" name="OptionButton73">
          <controlPr defaultSize="0" autoLine="0" linkedCell="'C.Prestador'!O103" r:id="rId216">
            <anchor moveWithCells="1">
              <from>
                <xdr:col>15</xdr:col>
                <xdr:colOff>457200</xdr:colOff>
                <xdr:row>195</xdr:row>
                <xdr:rowOff>47625</xdr:rowOff>
              </from>
              <to>
                <xdr:col>15</xdr:col>
                <xdr:colOff>647700</xdr:colOff>
                <xdr:row>195</xdr:row>
                <xdr:rowOff>209550</xdr:rowOff>
              </to>
            </anchor>
          </controlPr>
        </control>
      </mc:Choice>
      <mc:Fallback>
        <control shapeId="35964" r:id="rId215" name="OptionButton73"/>
      </mc:Fallback>
    </mc:AlternateContent>
    <mc:AlternateContent xmlns:mc="http://schemas.openxmlformats.org/markup-compatibility/2006">
      <mc:Choice Requires="x14">
        <control shapeId="35965" r:id="rId217" name="OptionButton72">
          <controlPr defaultSize="0" autoLine="0" linkedCell="'C.Prestador'!N103" r:id="rId218">
            <anchor moveWithCells="1">
              <from>
                <xdr:col>14</xdr:col>
                <xdr:colOff>457200</xdr:colOff>
                <xdr:row>195</xdr:row>
                <xdr:rowOff>47625</xdr:rowOff>
              </from>
              <to>
                <xdr:col>14</xdr:col>
                <xdr:colOff>647700</xdr:colOff>
                <xdr:row>195</xdr:row>
                <xdr:rowOff>209550</xdr:rowOff>
              </to>
            </anchor>
          </controlPr>
        </control>
      </mc:Choice>
      <mc:Fallback>
        <control shapeId="35965" r:id="rId217" name="OptionButton72"/>
      </mc:Fallback>
    </mc:AlternateContent>
    <mc:AlternateContent xmlns:mc="http://schemas.openxmlformats.org/markup-compatibility/2006">
      <mc:Choice Requires="x14">
        <control shapeId="35966" r:id="rId219" name="OptionButton65">
          <controlPr defaultSize="0" autoLine="0" linkedCell="'C.Prestador'!M124" r:id="rId220">
            <anchor moveWithCells="1">
              <from>
                <xdr:col>13</xdr:col>
                <xdr:colOff>438150</xdr:colOff>
                <xdr:row>217</xdr:row>
                <xdr:rowOff>85725</xdr:rowOff>
              </from>
              <to>
                <xdr:col>13</xdr:col>
                <xdr:colOff>628650</xdr:colOff>
                <xdr:row>217</xdr:row>
                <xdr:rowOff>247650</xdr:rowOff>
              </to>
            </anchor>
          </controlPr>
        </control>
      </mc:Choice>
      <mc:Fallback>
        <control shapeId="35966" r:id="rId219" name="OptionButton65"/>
      </mc:Fallback>
    </mc:AlternateContent>
    <mc:AlternateContent xmlns:mc="http://schemas.openxmlformats.org/markup-compatibility/2006">
      <mc:Choice Requires="x14">
        <control shapeId="35967" r:id="rId221" name="OptionButton66">
          <controlPr defaultSize="0" autoLine="0" linkedCell="'C.Prestador'!N124" r:id="rId222">
            <anchor moveWithCells="1">
              <from>
                <xdr:col>14</xdr:col>
                <xdr:colOff>438150</xdr:colOff>
                <xdr:row>217</xdr:row>
                <xdr:rowOff>85725</xdr:rowOff>
              </from>
              <to>
                <xdr:col>14</xdr:col>
                <xdr:colOff>628650</xdr:colOff>
                <xdr:row>217</xdr:row>
                <xdr:rowOff>247650</xdr:rowOff>
              </to>
            </anchor>
          </controlPr>
        </control>
      </mc:Choice>
      <mc:Fallback>
        <control shapeId="35967" r:id="rId221" name="OptionButton66"/>
      </mc:Fallback>
    </mc:AlternateContent>
    <mc:AlternateContent xmlns:mc="http://schemas.openxmlformats.org/markup-compatibility/2006">
      <mc:Choice Requires="x14">
        <control shapeId="35968" r:id="rId223" name="OptionButton67">
          <controlPr defaultSize="0" autoLine="0" linkedCell="'C.Prestador'!O124" r:id="rId224">
            <anchor moveWithCells="1">
              <from>
                <xdr:col>15</xdr:col>
                <xdr:colOff>438150</xdr:colOff>
                <xdr:row>217</xdr:row>
                <xdr:rowOff>85725</xdr:rowOff>
              </from>
              <to>
                <xdr:col>15</xdr:col>
                <xdr:colOff>628650</xdr:colOff>
                <xdr:row>217</xdr:row>
                <xdr:rowOff>247650</xdr:rowOff>
              </to>
            </anchor>
          </controlPr>
        </control>
      </mc:Choice>
      <mc:Fallback>
        <control shapeId="35968" r:id="rId223" name="OptionButton67"/>
      </mc:Fallback>
    </mc:AlternateContent>
    <mc:AlternateContent xmlns:mc="http://schemas.openxmlformats.org/markup-compatibility/2006">
      <mc:Choice Requires="x14">
        <control shapeId="35969" r:id="rId225" name="OptionButton74">
          <controlPr defaultSize="0" autoLine="0" linkedCell="'C.Prestador'!M125" r:id="rId226">
            <anchor moveWithCells="1">
              <from>
                <xdr:col>13</xdr:col>
                <xdr:colOff>438150</xdr:colOff>
                <xdr:row>218</xdr:row>
                <xdr:rowOff>85725</xdr:rowOff>
              </from>
              <to>
                <xdr:col>13</xdr:col>
                <xdr:colOff>628650</xdr:colOff>
                <xdr:row>218</xdr:row>
                <xdr:rowOff>247650</xdr:rowOff>
              </to>
            </anchor>
          </controlPr>
        </control>
      </mc:Choice>
      <mc:Fallback>
        <control shapeId="35969" r:id="rId225" name="OptionButton74"/>
      </mc:Fallback>
    </mc:AlternateContent>
    <mc:AlternateContent xmlns:mc="http://schemas.openxmlformats.org/markup-compatibility/2006">
      <mc:Choice Requires="x14">
        <control shapeId="35970" r:id="rId227" name="OptionButton75">
          <controlPr defaultSize="0" autoLine="0" linkedCell="'C.Prestador'!N125" r:id="rId228">
            <anchor moveWithCells="1">
              <from>
                <xdr:col>14</xdr:col>
                <xdr:colOff>438150</xdr:colOff>
                <xdr:row>218</xdr:row>
                <xdr:rowOff>85725</xdr:rowOff>
              </from>
              <to>
                <xdr:col>14</xdr:col>
                <xdr:colOff>628650</xdr:colOff>
                <xdr:row>218</xdr:row>
                <xdr:rowOff>247650</xdr:rowOff>
              </to>
            </anchor>
          </controlPr>
        </control>
      </mc:Choice>
      <mc:Fallback>
        <control shapeId="35970" r:id="rId227" name="OptionButton75"/>
      </mc:Fallback>
    </mc:AlternateContent>
    <mc:AlternateContent xmlns:mc="http://schemas.openxmlformats.org/markup-compatibility/2006">
      <mc:Choice Requires="x14">
        <control shapeId="35971" r:id="rId229" name="OptionButton76">
          <controlPr defaultSize="0" autoLine="0" linkedCell="'C.Prestador'!O125" r:id="rId230">
            <anchor moveWithCells="1">
              <from>
                <xdr:col>15</xdr:col>
                <xdr:colOff>438150</xdr:colOff>
                <xdr:row>218</xdr:row>
                <xdr:rowOff>85725</xdr:rowOff>
              </from>
              <to>
                <xdr:col>15</xdr:col>
                <xdr:colOff>628650</xdr:colOff>
                <xdr:row>218</xdr:row>
                <xdr:rowOff>247650</xdr:rowOff>
              </to>
            </anchor>
          </controlPr>
        </control>
      </mc:Choice>
      <mc:Fallback>
        <control shapeId="35971" r:id="rId229" name="OptionButton76"/>
      </mc:Fallback>
    </mc:AlternateContent>
    <mc:AlternateContent xmlns:mc="http://schemas.openxmlformats.org/markup-compatibility/2006">
      <mc:Choice Requires="x14">
        <control shapeId="35972" r:id="rId231" name="OptionButton128">
          <controlPr defaultSize="0" autoLine="0" linkedCell="'C.Prestador'!M126" r:id="rId232">
            <anchor moveWithCells="1">
              <from>
                <xdr:col>13</xdr:col>
                <xdr:colOff>447675</xdr:colOff>
                <xdr:row>219</xdr:row>
                <xdr:rowOff>76200</xdr:rowOff>
              </from>
              <to>
                <xdr:col>13</xdr:col>
                <xdr:colOff>638175</xdr:colOff>
                <xdr:row>219</xdr:row>
                <xdr:rowOff>238125</xdr:rowOff>
              </to>
            </anchor>
          </controlPr>
        </control>
      </mc:Choice>
      <mc:Fallback>
        <control shapeId="35972" r:id="rId231" name="OptionButton128"/>
      </mc:Fallback>
    </mc:AlternateContent>
    <mc:AlternateContent xmlns:mc="http://schemas.openxmlformats.org/markup-compatibility/2006">
      <mc:Choice Requires="x14">
        <control shapeId="35973" r:id="rId233" name="OptionButton129">
          <controlPr defaultSize="0" autoLine="0" linkedCell="'C.Prestador'!N126" r:id="rId234">
            <anchor moveWithCells="1">
              <from>
                <xdr:col>14</xdr:col>
                <xdr:colOff>447675</xdr:colOff>
                <xdr:row>219</xdr:row>
                <xdr:rowOff>76200</xdr:rowOff>
              </from>
              <to>
                <xdr:col>14</xdr:col>
                <xdr:colOff>638175</xdr:colOff>
                <xdr:row>219</xdr:row>
                <xdr:rowOff>238125</xdr:rowOff>
              </to>
            </anchor>
          </controlPr>
        </control>
      </mc:Choice>
      <mc:Fallback>
        <control shapeId="35973" r:id="rId233" name="OptionButton129"/>
      </mc:Fallback>
    </mc:AlternateContent>
    <mc:AlternateContent xmlns:mc="http://schemas.openxmlformats.org/markup-compatibility/2006">
      <mc:Choice Requires="x14">
        <control shapeId="35974" r:id="rId235" name="OptionButton130">
          <controlPr defaultSize="0" autoLine="0" linkedCell="'C.Prestador'!O126" r:id="rId236">
            <anchor moveWithCells="1">
              <from>
                <xdr:col>15</xdr:col>
                <xdr:colOff>447675</xdr:colOff>
                <xdr:row>219</xdr:row>
                <xdr:rowOff>76200</xdr:rowOff>
              </from>
              <to>
                <xdr:col>15</xdr:col>
                <xdr:colOff>638175</xdr:colOff>
                <xdr:row>219</xdr:row>
                <xdr:rowOff>238125</xdr:rowOff>
              </to>
            </anchor>
          </controlPr>
        </control>
      </mc:Choice>
      <mc:Fallback>
        <control shapeId="35974" r:id="rId235" name="OptionButton130"/>
      </mc:Fallback>
    </mc:AlternateContent>
    <mc:AlternateContent xmlns:mc="http://schemas.openxmlformats.org/markup-compatibility/2006">
      <mc:Choice Requires="x14">
        <control shapeId="35975" r:id="rId237" name="OptionButton126">
          <controlPr defaultSize="0" autoLine="0" linkedCell="'C.Prestador'!N121" r:id="rId238">
            <anchor moveWithCells="1">
              <from>
                <xdr:col>14</xdr:col>
                <xdr:colOff>428625</xdr:colOff>
                <xdr:row>214</xdr:row>
                <xdr:rowOff>85725</xdr:rowOff>
              </from>
              <to>
                <xdr:col>14</xdr:col>
                <xdr:colOff>619125</xdr:colOff>
                <xdr:row>214</xdr:row>
                <xdr:rowOff>247650</xdr:rowOff>
              </to>
            </anchor>
          </controlPr>
        </control>
      </mc:Choice>
      <mc:Fallback>
        <control shapeId="35975" r:id="rId237" name="OptionButton126"/>
      </mc:Fallback>
    </mc:AlternateContent>
    <mc:AlternateContent xmlns:mc="http://schemas.openxmlformats.org/markup-compatibility/2006">
      <mc:Choice Requires="x14">
        <control shapeId="35976" r:id="rId239" name="OptionButton127">
          <controlPr defaultSize="0" autoLine="0" linkedCell="'C.Prestador'!O121" r:id="rId240">
            <anchor moveWithCells="1">
              <from>
                <xdr:col>15</xdr:col>
                <xdr:colOff>428625</xdr:colOff>
                <xdr:row>214</xdr:row>
                <xdr:rowOff>85725</xdr:rowOff>
              </from>
              <to>
                <xdr:col>15</xdr:col>
                <xdr:colOff>619125</xdr:colOff>
                <xdr:row>214</xdr:row>
                <xdr:rowOff>247650</xdr:rowOff>
              </to>
            </anchor>
          </controlPr>
        </control>
      </mc:Choice>
      <mc:Fallback>
        <control shapeId="35976" r:id="rId239" name="OptionButton127"/>
      </mc:Fallback>
    </mc:AlternateContent>
    <mc:AlternateContent xmlns:mc="http://schemas.openxmlformats.org/markup-compatibility/2006">
      <mc:Choice Requires="x14">
        <control shapeId="35977" r:id="rId241" name="OptionButton137">
          <controlPr defaultSize="0" autoLine="0" linkedCell="'C.Prestador'!M162" r:id="rId242">
            <anchor moveWithCells="1">
              <from>
                <xdr:col>12</xdr:col>
                <xdr:colOff>514350</xdr:colOff>
                <xdr:row>227</xdr:row>
                <xdr:rowOff>104775</xdr:rowOff>
              </from>
              <to>
                <xdr:col>12</xdr:col>
                <xdr:colOff>704850</xdr:colOff>
                <xdr:row>227</xdr:row>
                <xdr:rowOff>266700</xdr:rowOff>
              </to>
            </anchor>
          </controlPr>
        </control>
      </mc:Choice>
      <mc:Fallback>
        <control shapeId="35977" r:id="rId241" name="OptionButton137"/>
      </mc:Fallback>
    </mc:AlternateContent>
    <mc:AlternateContent xmlns:mc="http://schemas.openxmlformats.org/markup-compatibility/2006">
      <mc:Choice Requires="x14">
        <control shapeId="35978" r:id="rId243" name="OptionButton138">
          <controlPr defaultSize="0" autoLine="0" linkedCell="'C.Prestador'!N162" r:id="rId244">
            <anchor moveWithCells="1">
              <from>
                <xdr:col>13</xdr:col>
                <xdr:colOff>514350</xdr:colOff>
                <xdr:row>227</xdr:row>
                <xdr:rowOff>104775</xdr:rowOff>
              </from>
              <to>
                <xdr:col>13</xdr:col>
                <xdr:colOff>704850</xdr:colOff>
                <xdr:row>227</xdr:row>
                <xdr:rowOff>266700</xdr:rowOff>
              </to>
            </anchor>
          </controlPr>
        </control>
      </mc:Choice>
      <mc:Fallback>
        <control shapeId="35978" r:id="rId243" name="OptionButton138"/>
      </mc:Fallback>
    </mc:AlternateContent>
    <mc:AlternateContent xmlns:mc="http://schemas.openxmlformats.org/markup-compatibility/2006">
      <mc:Choice Requires="x14">
        <control shapeId="35979" r:id="rId245" name="OptionButton139">
          <controlPr defaultSize="0" autoLine="0" linkedCell="'C.Prestador'!O162" r:id="rId246">
            <anchor moveWithCells="1">
              <from>
                <xdr:col>14</xdr:col>
                <xdr:colOff>514350</xdr:colOff>
                <xdr:row>227</xdr:row>
                <xdr:rowOff>104775</xdr:rowOff>
              </from>
              <to>
                <xdr:col>14</xdr:col>
                <xdr:colOff>704850</xdr:colOff>
                <xdr:row>227</xdr:row>
                <xdr:rowOff>266700</xdr:rowOff>
              </to>
            </anchor>
          </controlPr>
        </control>
      </mc:Choice>
      <mc:Fallback>
        <control shapeId="35979" r:id="rId245" name="OptionButton139"/>
      </mc:Fallback>
    </mc:AlternateContent>
    <mc:AlternateContent xmlns:mc="http://schemas.openxmlformats.org/markup-compatibility/2006">
      <mc:Choice Requires="x14">
        <control shapeId="35980" r:id="rId247" name="OptionButton140">
          <controlPr defaultSize="0" autoLine="0" linkedCell="'C.Prestador'!M163" r:id="rId248">
            <anchor moveWithCells="1">
              <from>
                <xdr:col>12</xdr:col>
                <xdr:colOff>514350</xdr:colOff>
                <xdr:row>228</xdr:row>
                <xdr:rowOff>104775</xdr:rowOff>
              </from>
              <to>
                <xdr:col>12</xdr:col>
                <xdr:colOff>704850</xdr:colOff>
                <xdr:row>228</xdr:row>
                <xdr:rowOff>266700</xdr:rowOff>
              </to>
            </anchor>
          </controlPr>
        </control>
      </mc:Choice>
      <mc:Fallback>
        <control shapeId="35980" r:id="rId247" name="OptionButton140"/>
      </mc:Fallback>
    </mc:AlternateContent>
    <mc:AlternateContent xmlns:mc="http://schemas.openxmlformats.org/markup-compatibility/2006">
      <mc:Choice Requires="x14">
        <control shapeId="35981" r:id="rId249" name="OptionButton141">
          <controlPr defaultSize="0" autoLine="0" linkedCell="'C.Prestador'!N163" r:id="rId250">
            <anchor moveWithCells="1">
              <from>
                <xdr:col>13</xdr:col>
                <xdr:colOff>514350</xdr:colOff>
                <xdr:row>228</xdr:row>
                <xdr:rowOff>104775</xdr:rowOff>
              </from>
              <to>
                <xdr:col>13</xdr:col>
                <xdr:colOff>704850</xdr:colOff>
                <xdr:row>228</xdr:row>
                <xdr:rowOff>266700</xdr:rowOff>
              </to>
            </anchor>
          </controlPr>
        </control>
      </mc:Choice>
      <mc:Fallback>
        <control shapeId="35981" r:id="rId249" name="OptionButton141"/>
      </mc:Fallback>
    </mc:AlternateContent>
    <mc:AlternateContent xmlns:mc="http://schemas.openxmlformats.org/markup-compatibility/2006">
      <mc:Choice Requires="x14">
        <control shapeId="35982" r:id="rId251" name="OptionButton142">
          <controlPr defaultSize="0" autoLine="0" linkedCell="'C.Prestador'!O163" r:id="rId252">
            <anchor moveWithCells="1">
              <from>
                <xdr:col>14</xdr:col>
                <xdr:colOff>514350</xdr:colOff>
                <xdr:row>228</xdr:row>
                <xdr:rowOff>104775</xdr:rowOff>
              </from>
              <to>
                <xdr:col>14</xdr:col>
                <xdr:colOff>704850</xdr:colOff>
                <xdr:row>228</xdr:row>
                <xdr:rowOff>266700</xdr:rowOff>
              </to>
            </anchor>
          </controlPr>
        </control>
      </mc:Choice>
      <mc:Fallback>
        <control shapeId="35982" r:id="rId251" name="OptionButton142"/>
      </mc:Fallback>
    </mc:AlternateContent>
    <mc:AlternateContent xmlns:mc="http://schemas.openxmlformats.org/markup-compatibility/2006">
      <mc:Choice Requires="x14">
        <control shapeId="35983" r:id="rId253" name="OptionButton143">
          <controlPr defaultSize="0" autoLine="0" linkedCell="'C.Prestador'!M164" r:id="rId254">
            <anchor moveWithCells="1">
              <from>
                <xdr:col>12</xdr:col>
                <xdr:colOff>514350</xdr:colOff>
                <xdr:row>229</xdr:row>
                <xdr:rowOff>104775</xdr:rowOff>
              </from>
              <to>
                <xdr:col>12</xdr:col>
                <xdr:colOff>704850</xdr:colOff>
                <xdr:row>229</xdr:row>
                <xdr:rowOff>266700</xdr:rowOff>
              </to>
            </anchor>
          </controlPr>
        </control>
      </mc:Choice>
      <mc:Fallback>
        <control shapeId="35983" r:id="rId253" name="OptionButton143"/>
      </mc:Fallback>
    </mc:AlternateContent>
    <mc:AlternateContent xmlns:mc="http://schemas.openxmlformats.org/markup-compatibility/2006">
      <mc:Choice Requires="x14">
        <control shapeId="35984" r:id="rId255" name="OptionButton144">
          <controlPr defaultSize="0" autoLine="0" linkedCell="'C.Prestador'!N164" r:id="rId256">
            <anchor moveWithCells="1">
              <from>
                <xdr:col>13</xdr:col>
                <xdr:colOff>514350</xdr:colOff>
                <xdr:row>229</xdr:row>
                <xdr:rowOff>104775</xdr:rowOff>
              </from>
              <to>
                <xdr:col>13</xdr:col>
                <xdr:colOff>704850</xdr:colOff>
                <xdr:row>229</xdr:row>
                <xdr:rowOff>266700</xdr:rowOff>
              </to>
            </anchor>
          </controlPr>
        </control>
      </mc:Choice>
      <mc:Fallback>
        <control shapeId="35984" r:id="rId255" name="OptionButton144"/>
      </mc:Fallback>
    </mc:AlternateContent>
    <mc:AlternateContent xmlns:mc="http://schemas.openxmlformats.org/markup-compatibility/2006">
      <mc:Choice Requires="x14">
        <control shapeId="35985" r:id="rId257" name="OptionButton145">
          <controlPr defaultSize="0" autoLine="0" linkedCell="'C.Prestador'!O164" r:id="rId258">
            <anchor moveWithCells="1">
              <from>
                <xdr:col>14</xdr:col>
                <xdr:colOff>514350</xdr:colOff>
                <xdr:row>229</xdr:row>
                <xdr:rowOff>104775</xdr:rowOff>
              </from>
              <to>
                <xdr:col>14</xdr:col>
                <xdr:colOff>704850</xdr:colOff>
                <xdr:row>229</xdr:row>
                <xdr:rowOff>266700</xdr:rowOff>
              </to>
            </anchor>
          </controlPr>
        </control>
      </mc:Choice>
      <mc:Fallback>
        <control shapeId="35985" r:id="rId257" name="OptionButton145"/>
      </mc:Fallback>
    </mc:AlternateContent>
    <mc:AlternateContent xmlns:mc="http://schemas.openxmlformats.org/markup-compatibility/2006">
      <mc:Choice Requires="x14">
        <control shapeId="35986" r:id="rId259" name="OptionButton146">
          <controlPr defaultSize="0" autoLine="0" linkedCell="'C.Prestador'!M153" r:id="rId260">
            <anchor moveWithCells="1">
              <from>
                <xdr:col>13</xdr:col>
                <xdr:colOff>514350</xdr:colOff>
                <xdr:row>239</xdr:row>
                <xdr:rowOff>104775</xdr:rowOff>
              </from>
              <to>
                <xdr:col>13</xdr:col>
                <xdr:colOff>704850</xdr:colOff>
                <xdr:row>239</xdr:row>
                <xdr:rowOff>266700</xdr:rowOff>
              </to>
            </anchor>
          </controlPr>
        </control>
      </mc:Choice>
      <mc:Fallback>
        <control shapeId="35986" r:id="rId259" name="OptionButton146"/>
      </mc:Fallback>
    </mc:AlternateContent>
    <mc:AlternateContent xmlns:mc="http://schemas.openxmlformats.org/markup-compatibility/2006">
      <mc:Choice Requires="x14">
        <control shapeId="35987" r:id="rId261" name="OptionButton147">
          <controlPr defaultSize="0" autoLine="0" linkedCell="'C.Prestador'!N153" r:id="rId262">
            <anchor moveWithCells="1">
              <from>
                <xdr:col>14</xdr:col>
                <xdr:colOff>514350</xdr:colOff>
                <xdr:row>239</xdr:row>
                <xdr:rowOff>104775</xdr:rowOff>
              </from>
              <to>
                <xdr:col>14</xdr:col>
                <xdr:colOff>704850</xdr:colOff>
                <xdr:row>239</xdr:row>
                <xdr:rowOff>266700</xdr:rowOff>
              </to>
            </anchor>
          </controlPr>
        </control>
      </mc:Choice>
      <mc:Fallback>
        <control shapeId="35987" r:id="rId261" name="OptionButton147"/>
      </mc:Fallback>
    </mc:AlternateContent>
    <mc:AlternateContent xmlns:mc="http://schemas.openxmlformats.org/markup-compatibility/2006">
      <mc:Choice Requires="x14">
        <control shapeId="35988" r:id="rId263" name="OptionButton148">
          <controlPr defaultSize="0" autoLine="0" linkedCell="'C.Prestador'!O153" r:id="rId264">
            <anchor moveWithCells="1">
              <from>
                <xdr:col>15</xdr:col>
                <xdr:colOff>514350</xdr:colOff>
                <xdr:row>239</xdr:row>
                <xdr:rowOff>104775</xdr:rowOff>
              </from>
              <to>
                <xdr:col>15</xdr:col>
                <xdr:colOff>704850</xdr:colOff>
                <xdr:row>239</xdr:row>
                <xdr:rowOff>266700</xdr:rowOff>
              </to>
            </anchor>
          </controlPr>
        </control>
      </mc:Choice>
      <mc:Fallback>
        <control shapeId="35988" r:id="rId263" name="OptionButton148"/>
      </mc:Fallback>
    </mc:AlternateContent>
    <mc:AlternateContent xmlns:mc="http://schemas.openxmlformats.org/markup-compatibility/2006">
      <mc:Choice Requires="x14">
        <control shapeId="35989" r:id="rId265" name="OptionButton149">
          <controlPr defaultSize="0" autoLine="0" linkedCell="'C.Prestador'!M154" r:id="rId266">
            <anchor moveWithCells="1">
              <from>
                <xdr:col>13</xdr:col>
                <xdr:colOff>514350</xdr:colOff>
                <xdr:row>240</xdr:row>
                <xdr:rowOff>104775</xdr:rowOff>
              </from>
              <to>
                <xdr:col>13</xdr:col>
                <xdr:colOff>704850</xdr:colOff>
                <xdr:row>240</xdr:row>
                <xdr:rowOff>266700</xdr:rowOff>
              </to>
            </anchor>
          </controlPr>
        </control>
      </mc:Choice>
      <mc:Fallback>
        <control shapeId="35989" r:id="rId265" name="OptionButton149"/>
      </mc:Fallback>
    </mc:AlternateContent>
    <mc:AlternateContent xmlns:mc="http://schemas.openxmlformats.org/markup-compatibility/2006">
      <mc:Choice Requires="x14">
        <control shapeId="35990" r:id="rId267" name="OptionButton150">
          <controlPr defaultSize="0" autoLine="0" linkedCell="'C.Prestador'!N154" r:id="rId268">
            <anchor moveWithCells="1">
              <from>
                <xdr:col>14</xdr:col>
                <xdr:colOff>514350</xdr:colOff>
                <xdr:row>240</xdr:row>
                <xdr:rowOff>104775</xdr:rowOff>
              </from>
              <to>
                <xdr:col>14</xdr:col>
                <xdr:colOff>704850</xdr:colOff>
                <xdr:row>240</xdr:row>
                <xdr:rowOff>266700</xdr:rowOff>
              </to>
            </anchor>
          </controlPr>
        </control>
      </mc:Choice>
      <mc:Fallback>
        <control shapeId="35990" r:id="rId267" name="OptionButton150"/>
      </mc:Fallback>
    </mc:AlternateContent>
    <mc:AlternateContent xmlns:mc="http://schemas.openxmlformats.org/markup-compatibility/2006">
      <mc:Choice Requires="x14">
        <control shapeId="35991" r:id="rId269" name="OptionButton151">
          <controlPr defaultSize="0" autoLine="0" linkedCell="'C.Prestador'!O154" r:id="rId270">
            <anchor moveWithCells="1">
              <from>
                <xdr:col>15</xdr:col>
                <xdr:colOff>514350</xdr:colOff>
                <xdr:row>240</xdr:row>
                <xdr:rowOff>104775</xdr:rowOff>
              </from>
              <to>
                <xdr:col>15</xdr:col>
                <xdr:colOff>704850</xdr:colOff>
                <xdr:row>240</xdr:row>
                <xdr:rowOff>266700</xdr:rowOff>
              </to>
            </anchor>
          </controlPr>
        </control>
      </mc:Choice>
      <mc:Fallback>
        <control shapeId="35991" r:id="rId269" name="OptionButton151"/>
      </mc:Fallback>
    </mc:AlternateContent>
    <mc:AlternateContent xmlns:mc="http://schemas.openxmlformats.org/markup-compatibility/2006">
      <mc:Choice Requires="x14">
        <control shapeId="35992" r:id="rId271" name="OptionButton152">
          <controlPr defaultSize="0" autoLine="0" linkedCell="'C.Prestador'!C37" r:id="rId272">
            <anchor moveWithCells="1">
              <from>
                <xdr:col>13</xdr:col>
                <xdr:colOff>514350</xdr:colOff>
                <xdr:row>252</xdr:row>
                <xdr:rowOff>104775</xdr:rowOff>
              </from>
              <to>
                <xdr:col>13</xdr:col>
                <xdr:colOff>704850</xdr:colOff>
                <xdr:row>252</xdr:row>
                <xdr:rowOff>266700</xdr:rowOff>
              </to>
            </anchor>
          </controlPr>
        </control>
      </mc:Choice>
      <mc:Fallback>
        <control shapeId="35992" r:id="rId271" name="OptionButton152"/>
      </mc:Fallback>
    </mc:AlternateContent>
    <mc:AlternateContent xmlns:mc="http://schemas.openxmlformats.org/markup-compatibility/2006">
      <mc:Choice Requires="x14">
        <control shapeId="35993" r:id="rId273" name="OptionButton153">
          <controlPr defaultSize="0" autoLine="0" linkedCell="'C.Prestador'!C38" r:id="rId274">
            <anchor moveWithCells="1">
              <from>
                <xdr:col>14</xdr:col>
                <xdr:colOff>514350</xdr:colOff>
                <xdr:row>252</xdr:row>
                <xdr:rowOff>104775</xdr:rowOff>
              </from>
              <to>
                <xdr:col>14</xdr:col>
                <xdr:colOff>704850</xdr:colOff>
                <xdr:row>252</xdr:row>
                <xdr:rowOff>266700</xdr:rowOff>
              </to>
            </anchor>
          </controlPr>
        </control>
      </mc:Choice>
      <mc:Fallback>
        <control shapeId="35993" r:id="rId273" name="OptionButton153"/>
      </mc:Fallback>
    </mc:AlternateContent>
    <mc:AlternateContent xmlns:mc="http://schemas.openxmlformats.org/markup-compatibility/2006">
      <mc:Choice Requires="x14">
        <control shapeId="35994" r:id="rId275" name="OptionButton154">
          <controlPr defaultSize="0" autoLine="0" linkedCell="'C.Prestador'!C39" r:id="rId276">
            <anchor moveWithCells="1">
              <from>
                <xdr:col>15</xdr:col>
                <xdr:colOff>514350</xdr:colOff>
                <xdr:row>252</xdr:row>
                <xdr:rowOff>104775</xdr:rowOff>
              </from>
              <to>
                <xdr:col>15</xdr:col>
                <xdr:colOff>704850</xdr:colOff>
                <xdr:row>252</xdr:row>
                <xdr:rowOff>266700</xdr:rowOff>
              </to>
            </anchor>
          </controlPr>
        </control>
      </mc:Choice>
      <mc:Fallback>
        <control shapeId="35994" r:id="rId275" name="OptionButton154"/>
      </mc:Fallback>
    </mc:AlternateContent>
    <mc:AlternateContent xmlns:mc="http://schemas.openxmlformats.org/markup-compatibility/2006">
      <mc:Choice Requires="x14">
        <control shapeId="36000" r:id="rId277" name="OptionButton3">
          <controlPr defaultSize="0" autoLine="0" linkedCell="'C.Prestador'!M127" r:id="rId278">
            <anchor moveWithCells="1">
              <from>
                <xdr:col>13</xdr:col>
                <xdr:colOff>438150</xdr:colOff>
                <xdr:row>209</xdr:row>
                <xdr:rowOff>66675</xdr:rowOff>
              </from>
              <to>
                <xdr:col>13</xdr:col>
                <xdr:colOff>628650</xdr:colOff>
                <xdr:row>209</xdr:row>
                <xdr:rowOff>228600</xdr:rowOff>
              </to>
            </anchor>
          </controlPr>
        </control>
      </mc:Choice>
      <mc:Fallback>
        <control shapeId="36000" r:id="rId277" name="OptionButton3"/>
      </mc:Fallback>
    </mc:AlternateContent>
    <mc:AlternateContent xmlns:mc="http://schemas.openxmlformats.org/markup-compatibility/2006">
      <mc:Choice Requires="x14">
        <control shapeId="36001" r:id="rId279" name="OptionButton4">
          <controlPr defaultSize="0" autoLine="0" linkedCell="'C.Prestador'!N127" r:id="rId280">
            <anchor moveWithCells="1">
              <from>
                <xdr:col>14</xdr:col>
                <xdr:colOff>438150</xdr:colOff>
                <xdr:row>209</xdr:row>
                <xdr:rowOff>66675</xdr:rowOff>
              </from>
              <to>
                <xdr:col>14</xdr:col>
                <xdr:colOff>628650</xdr:colOff>
                <xdr:row>209</xdr:row>
                <xdr:rowOff>228600</xdr:rowOff>
              </to>
            </anchor>
          </controlPr>
        </control>
      </mc:Choice>
      <mc:Fallback>
        <control shapeId="36001" r:id="rId279" name="OptionButton4"/>
      </mc:Fallback>
    </mc:AlternateContent>
    <mc:AlternateContent xmlns:mc="http://schemas.openxmlformats.org/markup-compatibility/2006">
      <mc:Choice Requires="x14">
        <control shapeId="36002" r:id="rId281" name="OptionButton5">
          <controlPr defaultSize="0" autoLine="0" linkedCell="'C.Prestador'!O127" r:id="rId282">
            <anchor moveWithCells="1">
              <from>
                <xdr:col>15</xdr:col>
                <xdr:colOff>438150</xdr:colOff>
                <xdr:row>209</xdr:row>
                <xdr:rowOff>66675</xdr:rowOff>
              </from>
              <to>
                <xdr:col>15</xdr:col>
                <xdr:colOff>628650</xdr:colOff>
                <xdr:row>209</xdr:row>
                <xdr:rowOff>228600</xdr:rowOff>
              </to>
            </anchor>
          </controlPr>
        </control>
      </mc:Choice>
      <mc:Fallback>
        <control shapeId="36002" r:id="rId281" name="OptionButton5"/>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36" id="{8867C84D-C86D-466C-BA35-09B10EE7604F}">
            <xm:f>'C.Prestador'!$C$11=4</xm:f>
            <x14:dxf>
              <font>
                <color theme="0"/>
              </font>
              <border>
                <left/>
                <right/>
                <top/>
                <bottom style="thin">
                  <color auto="1"/>
                </bottom>
                <vertical/>
                <horizontal/>
              </border>
            </x14:dxf>
          </x14:cfRule>
          <xm:sqref>L22:Q22</xm:sqref>
        </x14:conditionalFormatting>
        <x14:conditionalFormatting xmlns:xm="http://schemas.microsoft.com/office/excel/2006/main">
          <x14:cfRule type="expression" priority="34" id="{FF2967DC-D9CD-4CC7-BEC3-4F7A9A586B0E}">
            <xm:f>'C.Recicladores'!$C$210=TRUE</xm:f>
            <x14:dxf>
              <font>
                <color theme="0"/>
              </font>
              <fill>
                <patternFill>
                  <bgColor theme="0"/>
                </patternFill>
              </fill>
              <border>
                <left/>
                <right/>
                <top/>
                <bottom/>
                <vertical/>
                <horizontal/>
              </border>
            </x14:dxf>
          </x14:cfRule>
          <xm:sqref>L293</xm:sqref>
        </x14:conditionalFormatting>
        <x14:conditionalFormatting xmlns:xm="http://schemas.microsoft.com/office/excel/2006/main">
          <x14:cfRule type="expression" priority="33" id="{FAF18101-8FBA-4128-B8AA-434AB056CD5B}">
            <xm:f>'C.Recicladores'!$C$209=TRUE</xm:f>
            <x14:dxf>
              <font>
                <color theme="0"/>
              </font>
              <fill>
                <patternFill>
                  <bgColor theme="0"/>
                </patternFill>
              </fill>
              <border>
                <left/>
                <right/>
                <top/>
                <bottom/>
                <vertical/>
                <horizontal/>
              </border>
            </x14:dxf>
          </x14:cfRule>
          <xm:sqref>L295</xm:sqref>
        </x14:conditionalFormatting>
        <x14:conditionalFormatting xmlns:xm="http://schemas.microsoft.com/office/excel/2006/main">
          <x14:cfRule type="expression" priority="31" id="{F1B60A24-8B0C-4E5A-BD34-AA3E20DF28CE}">
            <xm:f>'C.Prestador'!$C$11&lt;4</xm:f>
            <x14:dxf>
              <font>
                <color theme="0"/>
              </font>
              <fill>
                <patternFill>
                  <bgColor theme="0"/>
                </patternFill>
              </fill>
              <border>
                <left/>
                <right/>
                <top/>
                <bottom/>
                <vertical/>
                <horizontal/>
              </border>
            </x14:dxf>
          </x14:cfRule>
          <xm:sqref>L23:Q25 P110 N26 Q26 L26:L27 N27:Q27 L28:Q36 M78:P81 L37:L42 M82 Q37:Q42 O82:P82 M77</xm:sqref>
        </x14:conditionalFormatting>
        <x14:conditionalFormatting xmlns:xm="http://schemas.microsoft.com/office/excel/2006/main">
          <x14:cfRule type="expression" priority="30" id="{165FEA13-20EF-4520-83B1-7C097DA506F3}">
            <xm:f>'C.Recicladores'!$C$11&lt;4</xm:f>
            <x14:dxf>
              <font>
                <color theme="0"/>
              </font>
              <fill>
                <patternFill>
                  <bgColor theme="0"/>
                </patternFill>
              </fill>
              <border>
                <left/>
                <right/>
                <top/>
                <bottom/>
                <vertical/>
                <horizontal/>
              </border>
            </x14:dxf>
          </x14:cfRule>
          <xm:sqref>Q111</xm:sqref>
        </x14:conditionalFormatting>
        <x14:conditionalFormatting xmlns:xm="http://schemas.microsoft.com/office/excel/2006/main">
          <x14:cfRule type="expression" priority="29" id="{922542AB-73AB-4B53-9EE3-7BDD7793675E}">
            <xm:f>'C.Prestador'!$C$11&lt;4</xm:f>
            <x14:dxf>
              <font>
                <color theme="0"/>
              </font>
              <fill>
                <patternFill>
                  <bgColor theme="0"/>
                </patternFill>
              </fill>
              <border>
                <left/>
                <right/>
                <top/>
                <bottom/>
                <vertical/>
                <horizontal/>
              </border>
            </x14:dxf>
          </x14:cfRule>
          <xm:sqref>O26:P26</xm:sqref>
        </x14:conditionalFormatting>
        <x14:conditionalFormatting xmlns:xm="http://schemas.microsoft.com/office/excel/2006/main">
          <x14:cfRule type="expression" priority="25" id="{4F5CDF4A-5F67-4742-AC21-6FF6A6D55829}">
            <xm:f>'C.Prestador'!$C$11&lt;4</xm:f>
            <x14:dxf>
              <font>
                <color theme="0"/>
              </font>
              <fill>
                <patternFill patternType="none">
                  <bgColor auto="1"/>
                </patternFill>
              </fill>
              <border>
                <left/>
                <right/>
                <top/>
                <bottom/>
                <vertical/>
                <horizontal/>
              </border>
            </x14:dxf>
          </x14:cfRule>
          <xm:sqref>M26:M27</xm:sqref>
        </x14:conditionalFormatting>
        <x14:conditionalFormatting xmlns:xm="http://schemas.microsoft.com/office/excel/2006/main">
          <x14:cfRule type="expression" priority="22" id="{8F1F04BD-3A8E-4F1E-9CA1-D9F4D62B46D4}">
            <xm:f>'C.Prestador'!$C$99=FALSE</xm:f>
            <x14:dxf>
              <font>
                <color theme="0"/>
              </font>
              <fill>
                <patternFill patternType="none">
                  <bgColor auto="1"/>
                </patternFill>
              </fill>
              <border>
                <left/>
                <right/>
                <top/>
                <bottom/>
                <vertical/>
                <horizontal/>
              </border>
            </x14:dxf>
          </x14:cfRule>
          <xm:sqref>I147:I151</xm:sqref>
        </x14:conditionalFormatting>
        <x14:conditionalFormatting xmlns:xm="http://schemas.microsoft.com/office/excel/2006/main">
          <x14:cfRule type="expression" priority="21" id="{D9A364F2-B880-4E60-B777-AA46C1632B6A}">
            <xm:f>'C.Prestador'!$C$100=FALSE</xm:f>
            <x14:dxf>
              <font>
                <color theme="0"/>
              </font>
              <fill>
                <patternFill patternType="none">
                  <bgColor auto="1"/>
                </patternFill>
              </fill>
              <border>
                <left/>
                <right/>
                <top/>
                <bottom/>
                <vertical/>
                <horizontal/>
              </border>
            </x14:dxf>
          </x14:cfRule>
          <xm:sqref>G147:G151</xm:sqref>
        </x14:conditionalFormatting>
        <x14:conditionalFormatting xmlns:xm="http://schemas.microsoft.com/office/excel/2006/main">
          <x14:cfRule type="expression" priority="15" id="{BC9FB661-2C16-492E-8050-934B27B08764}">
            <xm:f>'C.Prestador'!$C$104=FALSE</xm:f>
            <x14:dxf>
              <font>
                <color theme="0"/>
              </font>
              <fill>
                <patternFill patternType="none">
                  <bgColor auto="1"/>
                </patternFill>
              </fill>
              <border>
                <left/>
                <right style="thin">
                  <color auto="1"/>
                </right>
                <top/>
                <bottom/>
                <vertical/>
                <horizontal/>
              </border>
            </x14:dxf>
          </x14:cfRule>
          <xm:sqref>N152 N154</xm:sqref>
        </x14:conditionalFormatting>
        <x14:conditionalFormatting xmlns:xm="http://schemas.microsoft.com/office/excel/2006/main">
          <x14:cfRule type="expression" priority="14" id="{9444EB15-8AC0-4ABC-BE37-0A157332AC44}">
            <xm:f>'C.Prestador'!$C$104=FALSE</xm:f>
            <x14:dxf>
              <font>
                <color theme="0"/>
              </font>
              <fill>
                <patternFill patternType="none">
                  <bgColor auto="1"/>
                </patternFill>
              </fill>
              <border>
                <left/>
                <right/>
                <top/>
                <bottom/>
                <vertical/>
                <horizontal/>
              </border>
            </x14:dxf>
          </x14:cfRule>
          <xm:sqref>N153</xm:sqref>
        </x14:conditionalFormatting>
        <x14:conditionalFormatting xmlns:xm="http://schemas.microsoft.com/office/excel/2006/main">
          <x14:cfRule type="expression" priority="12" id="{D596466B-D414-41DF-AB1C-78A63131FF3D}">
            <xm:f>'C.Prestador'!$C$104=TRUE</xm:f>
            <x14:dxf>
              <font>
                <color theme="0"/>
              </font>
              <fill>
                <patternFill patternType="none">
                  <bgColor auto="1"/>
                </patternFill>
              </fill>
              <border>
                <left style="thin">
                  <color auto="1"/>
                </left>
                <right style="thin">
                  <color auto="1"/>
                </right>
                <top/>
                <bottom/>
                <vertical/>
                <horizontal/>
              </border>
            </x14:dxf>
          </x14:cfRule>
          <xm:sqref>O152 O154</xm:sqref>
        </x14:conditionalFormatting>
        <x14:conditionalFormatting xmlns:xm="http://schemas.microsoft.com/office/excel/2006/main">
          <x14:cfRule type="expression" priority="8" id="{ACD00A3E-9E7D-4224-B260-5EF221084591}">
            <xm:f>'C.Prestador'!$C$104=TRUE</xm:f>
            <x14:dxf>
              <font>
                <color theme="0"/>
              </font>
              <fill>
                <patternFill patternType="none">
                  <bgColor auto="1"/>
                </patternFill>
              </fill>
              <border>
                <left style="thin">
                  <color auto="1"/>
                </left>
                <right style="thin">
                  <color auto="1"/>
                </right>
                <top/>
                <bottom/>
                <vertical/>
                <horizontal/>
              </border>
            </x14:dxf>
          </x14:cfRule>
          <xm:sqref>O153</xm:sqref>
        </x14:conditionalFormatting>
        <x14:conditionalFormatting xmlns:xm="http://schemas.microsoft.com/office/excel/2006/main">
          <x14:cfRule type="expression" priority="7" id="{D729C886-FAAC-4CB5-AF99-EB55A7674A37}">
            <xm:f>'C.Prestador'!$C$105=TRUE</xm:f>
            <x14:dxf>
              <font>
                <color theme="0"/>
              </font>
              <fill>
                <patternFill patternType="none">
                  <bgColor auto="1"/>
                </patternFill>
              </fill>
              <border>
                <left/>
                <right/>
                <top style="thin">
                  <color auto="1"/>
                </top>
                <bottom style="thin">
                  <color auto="1"/>
                </bottom>
                <vertical/>
                <horizontal/>
              </border>
            </x14:dxf>
          </x14:cfRule>
          <xm:sqref>O153:P153</xm:sqref>
        </x14:conditionalFormatting>
        <x14:conditionalFormatting xmlns:xm="http://schemas.microsoft.com/office/excel/2006/main">
          <x14:cfRule type="expression" priority="6" id="{CB36A35C-E8A7-4035-836A-1AD09D3F96D4}">
            <xm:f>'C.Prestador'!$C$11=4</xm:f>
            <x14:dxf>
              <font>
                <color theme="0"/>
              </font>
              <fill>
                <patternFill patternType="none">
                  <bgColor auto="1"/>
                </patternFill>
              </fill>
              <border>
                <left/>
                <right/>
                <top style="thin">
                  <color auto="1"/>
                </top>
                <bottom/>
                <vertical/>
                <horizontal/>
              </border>
            </x14:dxf>
          </x14:cfRule>
          <xm:sqref>H39:I39</xm:sqref>
        </x14:conditionalFormatting>
        <x14:conditionalFormatting xmlns:xm="http://schemas.microsoft.com/office/excel/2006/main">
          <x14:cfRule type="expression" priority="5" id="{5A27F43B-9721-4851-B0C7-A5E8BEF4E8F8}">
            <xm:f>'C.Prestador'!$C$11&lt;4</xm:f>
            <x14:dxf>
              <font>
                <color theme="0"/>
              </font>
              <border>
                <left/>
                <right/>
                <top/>
                <bottom/>
                <vertical/>
                <horizontal/>
              </border>
            </x14:dxf>
          </x14:cfRule>
          <xm:sqref>L42:P42</xm:sqref>
        </x14:conditionalFormatting>
        <x14:conditionalFormatting xmlns:xm="http://schemas.microsoft.com/office/excel/2006/main">
          <x14:cfRule type="expression" priority="3" id="{01AB3A25-A4F5-4BF3-B42F-1B29D931EABA}">
            <xm:f>'C.Prestador'!$C$11=4</xm:f>
            <x14:dxf>
              <font>
                <color theme="0"/>
              </font>
              <fill>
                <patternFill>
                  <bgColor theme="0"/>
                </patternFill>
              </fill>
              <border>
                <left/>
                <right/>
                <top style="thin">
                  <color auto="1"/>
                </top>
                <bottom style="thin">
                  <color auto="1"/>
                </bottom>
                <vertical/>
                <horizontal/>
              </border>
            </x14:dxf>
          </x14:cfRule>
          <xm:sqref>G29:I29</xm:sqref>
        </x14:conditionalFormatting>
        <x14:conditionalFormatting xmlns:xm="http://schemas.microsoft.com/office/excel/2006/main">
          <x14:cfRule type="expression" priority="2" id="{D7C4CF7A-39CF-475D-B1EE-B300956F9AA3}">
            <xm:f>'C.Prestador'!$C$11=4</xm:f>
            <x14:dxf>
              <font>
                <color theme="0"/>
              </font>
              <fill>
                <patternFill>
                  <bgColor theme="0"/>
                </patternFill>
              </fill>
              <border>
                <left/>
                <right/>
                <top style="thin">
                  <color auto="1"/>
                </top>
                <bottom style="thin">
                  <color auto="1"/>
                </bottom>
                <vertical/>
                <horizontal/>
              </border>
            </x14:dxf>
          </x14:cfRule>
          <xm:sqref>G39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0000000}">
          <x14:formula1>
            <xm:f>Referencias!$B$72:$B$74</xm:f>
          </x14:formula1>
          <xm:sqref>G26:I26 O26:P26</xm:sqref>
        </x14:dataValidation>
        <x14:dataValidation type="list" allowBlank="1" showInputMessage="1" showErrorMessage="1" xr:uid="{00000000-0002-0000-0800-000001000000}">
          <x14:formula1>
            <xm:f>Referencias!$B$68:$B$69</xm:f>
          </x14:formula1>
          <xm:sqref>O34</xm:sqref>
        </x14:dataValidation>
        <x14:dataValidation type="list" allowBlank="1" showInputMessage="1" showErrorMessage="1" xr:uid="{00000000-0002-0000-0800-000002000000}">
          <x14:formula1>
            <xm:f>Referencias!$B$67:$B$69</xm:f>
          </x14:formula1>
          <xm:sqref>G37</xm:sqref>
        </x14:dataValidation>
        <x14:dataValidation type="list" allowBlank="1" showInputMessage="1" showErrorMessage="1" xr:uid="{00000000-0002-0000-0800-000003000000}">
          <x14:formula1>
            <xm:f>Referencias!$B$63:$B$65</xm:f>
          </x14:formula1>
          <xm:sqref>G35</xm:sqref>
        </x14:dataValidation>
        <x14:dataValidation type="list" allowBlank="1" showInputMessage="1" showErrorMessage="1" xr:uid="{00000000-0002-0000-0800-000004000000}">
          <x14:formula1>
            <xm:f>Referencias!$B$57:$B$61</xm:f>
          </x14:formula1>
          <xm:sqref>G19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39</vt:i4>
      </vt:variant>
    </vt:vector>
  </HeadingPairs>
  <TitlesOfParts>
    <vt:vector size="48" baseType="lpstr">
      <vt:lpstr>Inicio</vt:lpstr>
      <vt:lpstr>Instrucciones</vt:lpstr>
      <vt:lpstr>Ejemplo</vt:lpstr>
      <vt:lpstr>Datos Generales</vt:lpstr>
      <vt:lpstr>Datos Recicladores</vt:lpstr>
      <vt:lpstr>Datos Prestador</vt:lpstr>
      <vt:lpstr>Resultados</vt:lpstr>
      <vt:lpstr>Res. Escenario</vt:lpstr>
      <vt:lpstr>Comparación Ref</vt:lpstr>
      <vt:lpstr>Ejemplo!Área_de_impresión</vt:lpstr>
      <vt:lpstr>Instrucciones!Área_de_impresión</vt:lpstr>
      <vt:lpstr>C.RecicladoresRef!Cantidad</vt:lpstr>
      <vt:lpstr>Cantidad</vt:lpstr>
      <vt:lpstr>ESCENARIO1</vt:lpstr>
      <vt:lpstr>ESCENARIO2</vt:lpstr>
      <vt:lpstr>ESCENARIO3</vt:lpstr>
      <vt:lpstr>C.RecicladoresRef!Establecer_tamaño__ton_año</vt:lpstr>
      <vt:lpstr>Establecer_tamaño__ton_año</vt:lpstr>
      <vt:lpstr>C.RecicladoresRef!Indicar_cantiad_de_centros_de_acopio__ton_año</vt:lpstr>
      <vt:lpstr>Indicar_cantiad_de_centros_de_acopio__ton_año</vt:lpstr>
      <vt:lpstr>LBASE</vt:lpstr>
      <vt:lpstr>opcion1</vt:lpstr>
      <vt:lpstr>opcion2</vt:lpstr>
      <vt:lpstr>opcion3</vt:lpstr>
      <vt:lpstr>C.PrestadorRef!ptmes</vt:lpstr>
      <vt:lpstr>ptmes</vt:lpstr>
      <vt:lpstr>C.RecicladoresRef!Tamaño</vt:lpstr>
      <vt:lpstr>Tamaño</vt:lpstr>
      <vt:lpstr>C.PrestadorRef!Tamaño2</vt:lpstr>
      <vt:lpstr>Tamaño2</vt:lpstr>
      <vt:lpstr>tasacomp</vt:lpstr>
      <vt:lpstr>tasaopc</vt:lpstr>
      <vt:lpstr>tasarec1</vt:lpstr>
      <vt:lpstr>tasarec2</vt:lpstr>
      <vt:lpstr>tasarecind</vt:lpstr>
      <vt:lpstr>tasarecref</vt:lpstr>
      <vt:lpstr>C.RecicladoresRef!thrcen</vt:lpstr>
      <vt:lpstr>thrcen</vt:lpstr>
      <vt:lpstr>C.RecicladoresRef!tmescen</vt:lpstr>
      <vt:lpstr>tmescen</vt:lpstr>
      <vt:lpstr>C.RecicladoresRef!tonhora</vt:lpstr>
      <vt:lpstr>tonhora</vt:lpstr>
      <vt:lpstr>C.RecicladoresRef!tonmes</vt:lpstr>
      <vt:lpstr>tonmes</vt:lpstr>
      <vt:lpstr>VACIO</vt:lpstr>
      <vt:lpstr>VACIO1</vt:lpstr>
      <vt:lpstr>VACIO2</vt:lpstr>
      <vt:lpstr>VACIO3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Laguna</dc:creator>
  <cp:lastModifiedBy>KELVIN PULIDO</cp:lastModifiedBy>
  <cp:lastPrinted>2020-08-04T21:38:02Z</cp:lastPrinted>
  <dcterms:created xsi:type="dcterms:W3CDTF">2017-02-08T19:13:19Z</dcterms:created>
  <dcterms:modified xsi:type="dcterms:W3CDTF">2020-08-13T01:21:45Z</dcterms:modified>
</cp:coreProperties>
</file>